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2019 project\Design Tool\Update\"/>
    </mc:Choice>
  </mc:AlternateContent>
  <workbookProtection workbookAlgorithmName="SHA-512" workbookHashValue="4L+ZJQjnzKr4Qavrb3shFanIUI9E2YgJwqgniXoTvJOUB4r7AGDhp9s5es+UPPNR6ppzZ4hV1lOcLNbu2Gcl3g==" workbookSaltValue="bcgq8AhzYPiRugFHxa3fcg==" workbookSpinCount="100000" lockStructure="1"/>
  <bookViews>
    <workbookView xWindow="0" yWindow="0" windowWidth="20490" windowHeight="6330" activeTab="3"/>
  </bookViews>
  <sheets>
    <sheet name="Sheet1" sheetId="14" r:id="rId1"/>
    <sheet name="Change list " sheetId="13" r:id="rId2"/>
    <sheet name="RTQ296x_design tool" sheetId="5" r:id="rId3"/>
    <sheet name="RTQ294x_design tool" sheetId="17" r:id="rId4"/>
    <sheet name="parameter setting" sheetId="7" state="hidden" r:id="rId5"/>
    <sheet name="Ref" sheetId="12" state="hidden"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7" i="5" l="1"/>
  <c r="B152" i="17" l="1"/>
  <c r="B39" i="17" l="1"/>
  <c r="B42" i="17" s="1"/>
  <c r="B66" i="17"/>
  <c r="B160" i="17" l="1"/>
  <c r="B158" i="17"/>
  <c r="B153" i="17"/>
  <c r="B150" i="17"/>
  <c r="B148" i="17"/>
  <c r="B37" i="17"/>
  <c r="O14" i="7"/>
  <c r="O13" i="7"/>
  <c r="O12" i="7"/>
  <c r="O11" i="7"/>
  <c r="N13" i="7" s="1"/>
  <c r="O10" i="7"/>
  <c r="O9" i="7"/>
  <c r="O8" i="7"/>
  <c r="O7" i="7"/>
  <c r="B33" i="17"/>
  <c r="U14" i="7"/>
  <c r="K14" i="7"/>
  <c r="D14" i="7"/>
  <c r="U13" i="7"/>
  <c r="K13" i="7"/>
  <c r="D13" i="7"/>
  <c r="U12" i="7"/>
  <c r="K12" i="7"/>
  <c r="D12" i="7"/>
  <c r="U11" i="7"/>
  <c r="N12" i="7"/>
  <c r="K11" i="7"/>
  <c r="D11" i="7"/>
  <c r="U10" i="7"/>
  <c r="K10" i="7"/>
  <c r="D10" i="7"/>
  <c r="U9" i="7"/>
  <c r="K9" i="7"/>
  <c r="D9" i="7"/>
  <c r="U8" i="7"/>
  <c r="K8" i="7"/>
  <c r="D8" i="7"/>
  <c r="U7" i="7"/>
  <c r="K7" i="7"/>
  <c r="D7" i="7"/>
  <c r="N7" i="7" l="1"/>
  <c r="N8" i="7"/>
  <c r="N9" i="7"/>
  <c r="N10" i="7"/>
  <c r="N11" i="7"/>
  <c r="B48" i="17"/>
  <c r="B54" i="17"/>
  <c r="B47" i="17"/>
  <c r="B43" i="17"/>
  <c r="N14" i="7"/>
  <c r="B35" i="17" s="1"/>
  <c r="B33" i="5" l="1"/>
  <c r="B26" i="17"/>
  <c r="B72" i="17" s="1"/>
  <c r="B133" i="17" l="1"/>
  <c r="B132" i="17"/>
  <c r="B131" i="17"/>
  <c r="B127" i="17"/>
  <c r="B126" i="17"/>
  <c r="B125" i="17"/>
  <c r="B124" i="17"/>
  <c r="B116" i="17"/>
  <c r="B111" i="17"/>
  <c r="B107" i="17"/>
  <c r="B106" i="17"/>
  <c r="B103" i="17"/>
  <c r="B101" i="17"/>
  <c r="B76" i="17"/>
  <c r="B108" i="17" s="1"/>
  <c r="B117" i="17" s="1"/>
  <c r="B67" i="17"/>
  <c r="B65" i="17"/>
  <c r="B61" i="17"/>
  <c r="B64" i="17" s="1"/>
  <c r="B60" i="17"/>
  <c r="B63" i="17" s="1"/>
  <c r="B59" i="17"/>
  <c r="B62" i="17" s="1"/>
  <c r="B30" i="17"/>
  <c r="B50" i="17" l="1"/>
  <c r="B157" i="17" s="1"/>
  <c r="B71" i="17"/>
  <c r="B112" i="17"/>
  <c r="B120" i="17"/>
  <c r="B37" i="5"/>
  <c r="B39" i="5"/>
  <c r="B148" i="5"/>
  <c r="B150" i="5"/>
  <c r="B152" i="5"/>
  <c r="B153" i="5" s="1"/>
  <c r="B158" i="5"/>
  <c r="B160" i="5"/>
  <c r="B48" i="5" l="1"/>
  <c r="B80" i="17"/>
  <c r="B109" i="17"/>
  <c r="B43" i="5"/>
  <c r="B54" i="5"/>
  <c r="B51" i="17"/>
  <c r="B73" i="17"/>
  <c r="B77" i="17"/>
  <c r="B79" i="17"/>
  <c r="B30" i="5" l="1"/>
  <c r="B61" i="5" l="1"/>
  <c r="U6" i="7" l="1"/>
  <c r="U5" i="7"/>
  <c r="U4" i="7"/>
  <c r="U3" i="7"/>
  <c r="U2" i="7"/>
  <c r="B120" i="5" l="1"/>
  <c r="B71" i="5"/>
  <c r="B50" i="5"/>
  <c r="B42" i="5"/>
  <c r="K6" i="7"/>
  <c r="K5" i="7"/>
  <c r="K4" i="7"/>
  <c r="K3" i="7"/>
  <c r="K2" i="7"/>
  <c r="O2" i="7" l="1"/>
  <c r="O3" i="7"/>
  <c r="O4" i="7"/>
  <c r="B67" i="5"/>
  <c r="B66" i="5"/>
  <c r="B65" i="5"/>
  <c r="O5" i="7" l="1"/>
  <c r="B103" i="5" l="1"/>
  <c r="O6" i="7" l="1"/>
  <c r="N3" i="7" l="1"/>
  <c r="N2" i="7"/>
  <c r="N4" i="7"/>
  <c r="N6" i="7"/>
  <c r="N5" i="7"/>
  <c r="B35" i="5" s="1"/>
  <c r="B133" i="5"/>
  <c r="B132" i="5"/>
  <c r="B131" i="5"/>
  <c r="B102" i="7" l="1"/>
  <c r="B127" i="5"/>
  <c r="B126" i="5"/>
  <c r="B125" i="5"/>
  <c r="B124" i="5"/>
  <c r="B64" i="5" l="1"/>
  <c r="B60" i="5"/>
  <c r="B63" i="5" s="1"/>
  <c r="B59" i="5"/>
  <c r="B62" i="5" s="1"/>
  <c r="B51" i="5" l="1"/>
  <c r="B107" i="5"/>
  <c r="B116" i="5" l="1"/>
  <c r="B73" i="5" l="1"/>
  <c r="B26" i="5"/>
  <c r="B72" i="5" s="1"/>
  <c r="B111" i="5" l="1"/>
  <c r="B76" i="5"/>
  <c r="B80" i="5" l="1"/>
  <c r="B157" i="5"/>
  <c r="B79" i="5"/>
  <c r="B77" i="5"/>
  <c r="B108" i="5"/>
  <c r="B109" i="5" s="1"/>
  <c r="B106" i="5"/>
  <c r="B112" i="5" l="1"/>
  <c r="B117" i="5"/>
  <c r="R12" i="12"/>
  <c r="R10" i="12"/>
  <c r="R11" i="12" s="1"/>
  <c r="O10" i="12"/>
  <c r="O11" i="12" s="1"/>
  <c r="O12" i="12" s="1"/>
  <c r="O13" i="12" s="1"/>
  <c r="R13" i="12" l="1"/>
  <c r="D5" i="7"/>
  <c r="D4" i="7"/>
  <c r="D3" i="7"/>
  <c r="D2" i="7"/>
  <c r="D6" i="7"/>
  <c r="B101" i="5" l="1"/>
</calcChain>
</file>

<file path=xl/sharedStrings.xml><?xml version="1.0" encoding="utf-8"?>
<sst xmlns="http://schemas.openxmlformats.org/spreadsheetml/2006/main" count="523" uniqueCount="230">
  <si>
    <t>Kohm</t>
    <phoneticPr fontId="3" type="noConversion"/>
  </si>
  <si>
    <t>V</t>
    <phoneticPr fontId="3" type="noConversion"/>
  </si>
  <si>
    <t>uF</t>
    <phoneticPr fontId="3" type="noConversion"/>
  </si>
  <si>
    <t>RL</t>
    <phoneticPr fontId="3" type="noConversion"/>
  </si>
  <si>
    <t>ohm</t>
    <phoneticPr fontId="3" type="noConversion"/>
  </si>
  <si>
    <t>nF</t>
    <phoneticPr fontId="3" type="noConversion"/>
  </si>
  <si>
    <t>A</t>
    <phoneticPr fontId="3" type="noConversion"/>
  </si>
  <si>
    <t>uH</t>
    <phoneticPr fontId="3" type="noConversion"/>
  </si>
  <si>
    <t>nF</t>
    <phoneticPr fontId="3" type="noConversion"/>
  </si>
  <si>
    <t xml:space="preserve">Reference voltage </t>
    <phoneticPr fontId="3" type="noConversion"/>
  </si>
  <si>
    <t>nF</t>
    <phoneticPr fontId="3" type="noConversion"/>
  </si>
  <si>
    <t>ms</t>
    <phoneticPr fontId="3" type="noConversion"/>
  </si>
  <si>
    <t>pF</t>
    <phoneticPr fontId="3" type="noConversion"/>
  </si>
  <si>
    <t>MHz</t>
    <phoneticPr fontId="3" type="noConversion"/>
  </si>
  <si>
    <t>A</t>
    <phoneticPr fontId="3" type="noConversion"/>
  </si>
  <si>
    <t>%</t>
    <phoneticPr fontId="3" type="noConversion"/>
  </si>
  <si>
    <t>Rcomp selection</t>
    <phoneticPr fontId="3" type="noConversion"/>
  </si>
  <si>
    <r>
      <t>k</t>
    </r>
    <r>
      <rPr>
        <b/>
        <sz val="11"/>
        <color theme="1"/>
        <rFont val="新細明體"/>
        <family val="1"/>
        <charset val="136"/>
      </rPr>
      <t>Ω</t>
    </r>
    <phoneticPr fontId="3" type="noConversion"/>
  </si>
  <si>
    <t>High side feedback resistor_calculation</t>
    <phoneticPr fontId="3" type="noConversion"/>
  </si>
  <si>
    <t>crossover frequency setting</t>
    <phoneticPr fontId="3" type="noConversion"/>
  </si>
  <si>
    <t>Rcomp_calculation</t>
    <phoneticPr fontId="3" type="noConversion"/>
  </si>
  <si>
    <t>Ccomp_calculation</t>
    <phoneticPr fontId="3" type="noConversion"/>
  </si>
  <si>
    <t>Ccomp selection</t>
    <phoneticPr fontId="3" type="noConversion"/>
  </si>
  <si>
    <t>%</t>
    <phoneticPr fontId="10" type="noConversion"/>
  </si>
  <si>
    <t>Saturation current rating of inductor is equal to or greater than the switch current limit</t>
    <phoneticPr fontId="10" type="noConversion"/>
  </si>
  <si>
    <t>Effective output capacitance value</t>
    <phoneticPr fontId="3" type="noConversion"/>
  </si>
  <si>
    <t>uF</t>
    <phoneticPr fontId="3" type="noConversion"/>
  </si>
  <si>
    <t>Ω</t>
    <phoneticPr fontId="10" type="noConversion"/>
  </si>
  <si>
    <t>Kohm</t>
    <phoneticPr fontId="3" type="noConversion"/>
  </si>
  <si>
    <t>nF</t>
    <phoneticPr fontId="3" type="noConversion"/>
  </si>
  <si>
    <t>pF</t>
    <phoneticPr fontId="3" type="noConversion"/>
  </si>
  <si>
    <t>Ratio of inductor ripple current relative to the rated output current</t>
    <phoneticPr fontId="3" type="noConversion"/>
  </si>
  <si>
    <t>recommend ratio</t>
    <phoneticPr fontId="3" type="noConversion"/>
  </si>
  <si>
    <t>Part Number/ parameters</t>
    <phoneticPr fontId="10" type="noConversion"/>
  </si>
  <si>
    <t>rate current(A)</t>
    <phoneticPr fontId="3" type="noConversion"/>
  </si>
  <si>
    <t>gm(uA/V)</t>
    <phoneticPr fontId="3" type="noConversion"/>
  </si>
  <si>
    <t>gm_cs(uA/V)</t>
    <phoneticPr fontId="3" type="noConversion"/>
  </si>
  <si>
    <r>
      <t>此為峰值電流式降壓型轉換器，而峰值電流模式的組成，是由增加偵測外部電流轉換成電壓的電路，加至鋸齒波訊號所產生的迴路，將合成的訊號透過與誤差放大器的輸出比較來調整</t>
    </r>
    <r>
      <rPr>
        <sz val="12"/>
        <color rgb="FF1F497D"/>
        <rFont val="Calibri"/>
        <family val="2"/>
      </rPr>
      <t xml:space="preserve"> Power MOSFET</t>
    </r>
    <r>
      <rPr>
        <sz val="12"/>
        <color rgb="FF1F497D"/>
        <rFont val="新細明體"/>
        <family val="1"/>
        <charset val="136"/>
        <scheme val="minor"/>
      </rPr>
      <t>導通時間。由於操作在責任週期</t>
    </r>
    <r>
      <rPr>
        <sz val="12"/>
        <color rgb="FF1F497D"/>
        <rFont val="Calibri"/>
        <family val="2"/>
      </rPr>
      <t xml:space="preserve"> D &gt; 0.5 </t>
    </r>
    <r>
      <rPr>
        <sz val="12"/>
        <color rgb="FF1F497D"/>
        <rFont val="新細明體"/>
        <family val="1"/>
        <charset val="136"/>
        <scheme val="minor"/>
      </rPr>
      <t>時，會產生次諧波振盪，使得系統不穩定，所以需在電路中須再加入斜率補償</t>
    </r>
    <r>
      <rPr>
        <sz val="12"/>
        <color rgb="FF1F497D"/>
        <rFont val="Calibri"/>
        <family val="2"/>
      </rPr>
      <t>(Slope Compensation)</t>
    </r>
    <r>
      <rPr>
        <sz val="12"/>
        <color rgb="FF1F497D"/>
        <rFont val="新細明體"/>
        <family val="1"/>
        <charset val="136"/>
        <scheme val="minor"/>
      </rPr>
      <t>，以改善系統不穩定的情況。</t>
    </r>
  </si>
  <si>
    <r>
      <t>因此，</t>
    </r>
    <r>
      <rPr>
        <sz val="12"/>
        <color rgb="FF1F497D"/>
        <rFont val="Calibri"/>
        <family val="2"/>
      </rPr>
      <t>IC</t>
    </r>
    <r>
      <rPr>
        <sz val="12"/>
        <color rgb="FF1F497D"/>
        <rFont val="新細明體"/>
        <family val="1"/>
        <charset val="136"/>
        <scheme val="minor"/>
      </rPr>
      <t>設計時需定義如下的斜率補償參數</t>
    </r>
    <r>
      <rPr>
        <sz val="12"/>
        <color rgb="FF1F497D"/>
        <rFont val="Calibri"/>
        <family val="2"/>
      </rPr>
      <t xml:space="preserve"> mc</t>
    </r>
    <r>
      <rPr>
        <sz val="12"/>
        <color rgb="FF1F497D"/>
        <rFont val="新細明體"/>
        <family val="1"/>
        <charset val="136"/>
        <scheme val="minor"/>
      </rPr>
      <t>，</t>
    </r>
  </si>
  <si>
    <r>
      <t xml:space="preserve">Se </t>
    </r>
    <r>
      <rPr>
        <sz val="12"/>
        <color rgb="FF1F497D"/>
        <rFont val="新細明體"/>
        <family val="1"/>
        <charset val="136"/>
        <scheme val="minor"/>
      </rPr>
      <t>為外加鋸齒波的斜率，</t>
    </r>
    <r>
      <rPr>
        <sz val="12"/>
        <color rgb="FF1F497D"/>
        <rFont val="Calibri"/>
        <family val="2"/>
      </rPr>
      <t xml:space="preserve">Sn </t>
    </r>
    <r>
      <rPr>
        <sz val="12"/>
        <color rgb="FF1F497D"/>
        <rFont val="新細明體"/>
        <family val="1"/>
        <charset val="136"/>
        <scheme val="minor"/>
      </rPr>
      <t>為電流偵測波形在開關開啟時的斜率，所以</t>
    </r>
    <r>
      <rPr>
        <sz val="12"/>
        <color rgb="FF1F497D"/>
        <rFont val="Calibri"/>
        <family val="2"/>
      </rPr>
      <t>IC</t>
    </r>
    <r>
      <rPr>
        <sz val="12"/>
        <color rgb="FF1F497D"/>
        <rFont val="新細明體"/>
        <family val="1"/>
        <charset val="136"/>
        <scheme val="minor"/>
      </rPr>
      <t>在開發時會根據不同的額定輸出電流而有不同的斜率補償設計。</t>
    </r>
  </si>
  <si>
    <r>
      <t>考量</t>
    </r>
    <r>
      <rPr>
        <sz val="12"/>
        <color rgb="FF1F497D"/>
        <rFont val="Calibri"/>
        <family val="2"/>
      </rPr>
      <t>IC</t>
    </r>
    <r>
      <rPr>
        <sz val="12"/>
        <color rgb="FF1F497D"/>
        <rFont val="新細明體"/>
        <family val="1"/>
        <charset val="136"/>
      </rPr>
      <t>內部斜率補償以及系統最佳化設計，一般都是以</t>
    </r>
    <r>
      <rPr>
        <sz val="12"/>
        <color rgb="FF1F497D"/>
        <rFont val="Calibri"/>
        <family val="2"/>
      </rPr>
      <t>IC</t>
    </r>
    <r>
      <rPr>
        <sz val="12"/>
        <color rgb="FF1F497D"/>
        <rFont val="新細明體"/>
        <family val="1"/>
        <charset val="136"/>
      </rPr>
      <t>的額定輸出電流條件設定電感電流漣波</t>
    </r>
    <r>
      <rPr>
        <sz val="12"/>
        <color rgb="FF1F497D"/>
        <rFont val="Calibri"/>
        <family val="2"/>
      </rPr>
      <t xml:space="preserve">(10%~50% of the maximum rated IOUT) </t>
    </r>
    <r>
      <rPr>
        <sz val="12"/>
        <color rgb="FF1F497D"/>
        <rFont val="新細明體"/>
        <family val="1"/>
        <charset val="136"/>
      </rPr>
      <t>，進而至電感值設計選擇。從理論來看，選擇的電感值偏大，相對的</t>
    </r>
    <r>
      <rPr>
        <sz val="12"/>
        <color rgb="FF1F497D"/>
        <rFont val="Calibri"/>
        <family val="2"/>
      </rPr>
      <t>mc</t>
    </r>
    <r>
      <rPr>
        <sz val="12"/>
        <color rgb="FF1F497D"/>
        <rFont val="新細明體"/>
        <family val="1"/>
        <charset val="136"/>
      </rPr>
      <t>值越大，系統依舊可以穩定操作，但會趨向電壓模式控制，主要缺點就是響應慢，因此為避免響應差的問題才會建議客戶以</t>
    </r>
    <r>
      <rPr>
        <sz val="12"/>
        <color rgb="FF1F497D"/>
        <rFont val="Calibri"/>
        <family val="2"/>
      </rPr>
      <t>IC</t>
    </r>
    <r>
      <rPr>
        <sz val="12"/>
        <color rgb="FF1F497D"/>
        <rFont val="新細明體"/>
        <family val="1"/>
        <charset val="136"/>
      </rPr>
      <t>的額定輸出電流條件選擇電感值。</t>
    </r>
  </si>
  <si>
    <r>
      <t>對於 Design tool 說明不完整讓客戶誤會的部份，後續會更新，在麻煩你跟客戶說明，謝謝</t>
    </r>
    <r>
      <rPr>
        <sz val="12"/>
        <color rgb="FF1F497D"/>
        <rFont val="Calibri"/>
        <family val="2"/>
      </rPr>
      <t>!</t>
    </r>
  </si>
  <si>
    <t>se</t>
    <phoneticPr fontId="10" type="noConversion"/>
  </si>
  <si>
    <t>sn</t>
    <phoneticPr fontId="10" type="noConversion"/>
  </si>
  <si>
    <t>mc</t>
    <phoneticPr fontId="10" type="noConversion"/>
  </si>
  <si>
    <t>Xc</t>
    <phoneticPr fontId="10" type="noConversion"/>
  </si>
  <si>
    <t>Version</t>
  </si>
  <si>
    <t>Date</t>
  </si>
  <si>
    <t>Item</t>
  </si>
  <si>
    <t>Description</t>
  </si>
  <si>
    <t>V</t>
    <phoneticPr fontId="10" type="noConversion"/>
  </si>
  <si>
    <t>Kohm</t>
    <phoneticPr fontId="3" type="noConversion"/>
  </si>
  <si>
    <t>Kohm</t>
    <phoneticPr fontId="3" type="noConversion"/>
  </si>
  <si>
    <t>Iss(uA)</t>
    <phoneticPr fontId="3" type="noConversion"/>
  </si>
  <si>
    <t>IEN(uA)</t>
    <phoneticPr fontId="10" type="noConversion"/>
  </si>
  <si>
    <t>The resistance of Low side feedback should not be larger than 80kΩ for noise immunity consideration.</t>
    <phoneticPr fontId="10" type="noConversion"/>
  </si>
  <si>
    <t>Design Tool for Current Mode Controller</t>
    <phoneticPr fontId="18" type="noConversion"/>
  </si>
  <si>
    <t>Guideline for the design tool operation</t>
    <phoneticPr fontId="18" type="noConversion"/>
  </si>
  <si>
    <t>User input value</t>
    <phoneticPr fontId="18" type="noConversion"/>
  </si>
  <si>
    <t>Tool returned value</t>
    <phoneticPr fontId="18" type="noConversion"/>
  </si>
  <si>
    <t>Rev.</t>
    <phoneticPr fontId="18" type="noConversion"/>
  </si>
  <si>
    <t>Date</t>
    <phoneticPr fontId="18" type="noConversion"/>
  </si>
  <si>
    <t>Remark</t>
    <phoneticPr fontId="18" type="noConversion"/>
  </si>
  <si>
    <t>Output voltage, Vout</t>
    <phoneticPr fontId="3" type="noConversion"/>
  </si>
  <si>
    <t>Power supply design requirements</t>
    <phoneticPr fontId="3" type="noConversion"/>
  </si>
  <si>
    <t>peak-to-peak output ripple (%)</t>
    <phoneticPr fontId="3" type="noConversion"/>
  </si>
  <si>
    <t>%</t>
    <phoneticPr fontId="3" type="noConversion"/>
  </si>
  <si>
    <t>Nominal output current, Iout</t>
    <phoneticPr fontId="3" type="noConversion"/>
  </si>
  <si>
    <t>Maximum input voltage, Vin_max</t>
    <phoneticPr fontId="3" type="noConversion"/>
  </si>
  <si>
    <t>Minimum effective output capacitance to meet output voltage transient requirement</t>
    <phoneticPr fontId="3" type="noConversion"/>
  </si>
  <si>
    <t>Ω</t>
    <phoneticPr fontId="3" type="noConversion"/>
  </si>
  <si>
    <t>Maximum allowed ESR to meet the output ripple requirement, ESR_max</t>
    <phoneticPr fontId="3" type="noConversion"/>
  </si>
  <si>
    <t>Output capacitance selection</t>
    <phoneticPr fontId="3" type="noConversion"/>
  </si>
  <si>
    <t>ESR of selected output capacitance</t>
    <phoneticPr fontId="3" type="noConversion"/>
  </si>
  <si>
    <t>Minimum effective input capacitance</t>
    <phoneticPr fontId="3" type="noConversion"/>
  </si>
  <si>
    <t>Nominal input voltage, Vin_nominal</t>
    <phoneticPr fontId="3" type="noConversion"/>
  </si>
  <si>
    <t>Minimum input voltage, Vin_min</t>
    <phoneticPr fontId="3" type="noConversion"/>
  </si>
  <si>
    <t>Output voltage at short circuit condition</t>
    <phoneticPr fontId="3" type="noConversion"/>
  </si>
  <si>
    <t>RT resistor value_calculation</t>
    <phoneticPr fontId="3" type="noConversion"/>
  </si>
  <si>
    <t>RT resistor value selection</t>
    <phoneticPr fontId="3" type="noConversion"/>
  </si>
  <si>
    <t>Forward conduction voltage of the freewheel diode</t>
    <phoneticPr fontId="10" type="noConversion"/>
  </si>
  <si>
    <t>DC resistance of inductor</t>
    <phoneticPr fontId="10" type="noConversion"/>
  </si>
  <si>
    <t>Ω</t>
    <phoneticPr fontId="3" type="noConversion"/>
  </si>
  <si>
    <t>max RDS(ON)_H</t>
    <phoneticPr fontId="10" type="noConversion"/>
  </si>
  <si>
    <t>Select switching frequency</t>
    <phoneticPr fontId="3" type="noConversion"/>
  </si>
  <si>
    <t xml:space="preserve">Inductor setting </t>
    <phoneticPr fontId="3" type="noConversion"/>
  </si>
  <si>
    <t>Input capacitor selection</t>
    <phoneticPr fontId="3" type="noConversion"/>
  </si>
  <si>
    <t>Output capacitor selection</t>
    <phoneticPr fontId="3" type="noConversion"/>
  </si>
  <si>
    <t>Compensation Circuit design</t>
    <phoneticPr fontId="3" type="noConversion"/>
  </si>
  <si>
    <t>The variation of the capacitance value with temperature, DC bias voltage and switching frequency needs to be taken into consideration.</t>
    <phoneticPr fontId="10" type="noConversion"/>
  </si>
  <si>
    <t>For ceramic capacitors, the equivalent series resistance (ESR) is very low, the ripple which is caused by ESR can be ignored.</t>
    <phoneticPr fontId="10" type="noConversion"/>
  </si>
  <si>
    <t>The device implements skip off-time function to achieve high duty approaching 100% and the maximum output voltage is near the minimum input supply voltage of the application for input voltage momentarily falls down to the normal output voltage requirement.</t>
    <phoneticPr fontId="10" type="noConversion"/>
  </si>
  <si>
    <t>IL_PEAK _calculation</t>
    <phoneticPr fontId="3" type="noConversion"/>
  </si>
  <si>
    <r>
      <rPr>
        <b/>
        <sz val="12"/>
        <color theme="1"/>
        <rFont val="新細明體"/>
        <family val="1"/>
        <charset val="136"/>
      </rPr>
      <t>△</t>
    </r>
    <r>
      <rPr>
        <b/>
        <sz val="12"/>
        <color theme="1"/>
        <rFont val="Calibri"/>
        <family val="2"/>
      </rPr>
      <t>IL_calculation</t>
    </r>
    <phoneticPr fontId="3" type="noConversion"/>
  </si>
  <si>
    <t>Ccomp2_calculation</t>
    <phoneticPr fontId="3" type="noConversion"/>
  </si>
  <si>
    <t>Ccomp2 selection</t>
    <phoneticPr fontId="3" type="noConversion"/>
  </si>
  <si>
    <t>Rcomp selection</t>
    <phoneticPr fontId="3" type="noConversion"/>
  </si>
  <si>
    <t>Ccomp selection</t>
    <phoneticPr fontId="3" type="noConversion"/>
  </si>
  <si>
    <t>Ccomp2 selection (Option by using E-cap with high ESR)</t>
    <phoneticPr fontId="3" type="noConversion"/>
  </si>
  <si>
    <t>Ccomp2 selection (Option to enhance noise immunity)</t>
    <phoneticPr fontId="3" type="noConversion"/>
  </si>
  <si>
    <t>EN Pin for Start-Up and UVLO Adjustment</t>
    <phoneticPr fontId="3" type="noConversion"/>
  </si>
  <si>
    <t>VIN UVLO resistor REN1</t>
    <phoneticPr fontId="3" type="noConversion"/>
  </si>
  <si>
    <t>VIN UVLO resistor REN1 selection</t>
    <phoneticPr fontId="3" type="noConversion"/>
  </si>
  <si>
    <t>VIN UVLO resistor REN2</t>
    <phoneticPr fontId="3" type="noConversion"/>
  </si>
  <si>
    <t>VIN UVLO resistor REN2 selection</t>
    <phoneticPr fontId="3" type="noConversion"/>
  </si>
  <si>
    <t>Desired Soft start time</t>
    <phoneticPr fontId="3" type="noConversion"/>
  </si>
  <si>
    <t>Soft start time</t>
    <phoneticPr fontId="3" type="noConversion"/>
  </si>
  <si>
    <t>CSS/TR calculation</t>
    <phoneticPr fontId="3" type="noConversion"/>
  </si>
  <si>
    <t>CSS/TR selection</t>
    <phoneticPr fontId="3" type="noConversion"/>
  </si>
  <si>
    <t>VTH_EN</t>
    <phoneticPr fontId="10" type="noConversion"/>
  </si>
  <si>
    <t>maximum input voltage needs to be smaller than the device maximum voltage</t>
    <phoneticPr fontId="10" type="noConversion"/>
  </si>
  <si>
    <t>minimum input voltage needs to be greater than the device minimum voltage</t>
    <phoneticPr fontId="10" type="noConversion"/>
  </si>
  <si>
    <t>Ton_min, max (Ua)</t>
    <phoneticPr fontId="10" type="noConversion"/>
  </si>
  <si>
    <t>crossover frequency setting, % of the switching frequency</t>
    <phoneticPr fontId="10" type="noConversion"/>
  </si>
  <si>
    <t>Minimum effective output capacitance for voltage ripple (No ESR consideration)</t>
    <phoneticPr fontId="3" type="noConversion"/>
  </si>
  <si>
    <t>Capacitance decrease change rate based on DC bias (%)</t>
    <phoneticPr fontId="3" type="noConversion"/>
  </si>
  <si>
    <t>Freewheel Diode Selection</t>
    <phoneticPr fontId="3" type="noConversion"/>
  </si>
  <si>
    <t>List of Compensation Network components</t>
    <phoneticPr fontId="3" type="noConversion"/>
  </si>
  <si>
    <t>Bootstrap Driver Supply</t>
    <phoneticPr fontId="3" type="noConversion"/>
  </si>
  <si>
    <t>Power-Good Output</t>
    <phoneticPr fontId="3" type="noConversion"/>
  </si>
  <si>
    <t>It is recommended to use pull-up resistance between the values of 1 and 10kΩ to reduce the switching noise coupling to PGOOD pin.</t>
    <phoneticPr fontId="10" type="noConversion"/>
  </si>
  <si>
    <t>Inductance_calculation</t>
    <phoneticPr fontId="3" type="noConversion"/>
  </si>
  <si>
    <t xml:space="preserve">Minimum Inductance requirement for D &gt; 50% condition </t>
    <phoneticPr fontId="3" type="noConversion"/>
  </si>
  <si>
    <t>Inductance selection</t>
    <phoneticPr fontId="3" type="noConversion"/>
  </si>
  <si>
    <t>Dnom, nominal duty cycle</t>
    <phoneticPr fontId="3" type="noConversion"/>
  </si>
  <si>
    <t>%</t>
    <phoneticPr fontId="3" type="noConversion"/>
  </si>
  <si>
    <t>Dmin, minimum duty cycle</t>
    <phoneticPr fontId="3" type="noConversion"/>
  </si>
  <si>
    <t>%</t>
    <phoneticPr fontId="10" type="noConversion"/>
  </si>
  <si>
    <t>Dmax, maximum duty cycle</t>
    <phoneticPr fontId="3" type="noConversion"/>
  </si>
  <si>
    <t>fdiv(freqency divide equals )</t>
    <phoneticPr fontId="10" type="noConversion"/>
  </si>
  <si>
    <t>Vref(shift)</t>
    <phoneticPr fontId="10" type="noConversion"/>
  </si>
  <si>
    <t>maximum output current during load step</t>
  </si>
  <si>
    <t>minimum output current during load step</t>
  </si>
  <si>
    <t>Maximum allowable switching frequency, limited by Ton_min</t>
  </si>
  <si>
    <t>Maximum allowable switching frequency, limited by frequency foldback function</t>
  </si>
  <si>
    <t>Switching Frequency selection, Fsw</t>
  </si>
  <si>
    <t>Switching Frequency at selected RT</t>
  </si>
  <si>
    <t>Capacitance decrease change rate based on DC bias at nominal input voltage (%)</t>
  </si>
  <si>
    <t>Capacitance decrease change rate based on DC bias at minimum input voltage (%)</t>
  </si>
  <si>
    <t>Capacitance decrease change rate based on DC bias at maximum input voltage (%)</t>
  </si>
  <si>
    <t>Effective input capacitance at minimum input voltage</t>
  </si>
  <si>
    <t>Effective input capacitance at maximum input voltage</t>
  </si>
  <si>
    <t>output voltage at selected feedback resistors</t>
  </si>
  <si>
    <t xml:space="preserve">The device implements pulse skip function to keep output voltage regulation when the minimum ON-time is reached. </t>
  </si>
  <si>
    <t>Feed-forward capacitor:</t>
  </si>
  <si>
    <t>Low side feedback resistor selection</t>
  </si>
  <si>
    <t>High side feedback resistor selection</t>
  </si>
  <si>
    <t>Adding a feed-forward capacitor in parallel with high-side feedback resistor can help reduce the PSM ripple in light load</t>
  </si>
  <si>
    <t>Desired shut-down  input voltage (enable shut-down level)</t>
  </si>
  <si>
    <t>Desired startup  input voltage (enable start-up level)</t>
  </si>
  <si>
    <t>peak-to-peak output ripple,ΔVOUT</t>
  </si>
  <si>
    <t>Maximum input voltage for normal operation without pulse skipping</t>
  </si>
  <si>
    <t>The bootstrap diode can be a fast small signal diode with voltage rating of Vin_max, such as 1N4148.</t>
  </si>
  <si>
    <t>Start-up input voltage</t>
  </si>
  <si>
    <t>Shut-down input voltage</t>
  </si>
  <si>
    <t>Effective input capacitance at nominal input voltage</t>
    <phoneticPr fontId="3" type="noConversion"/>
  </si>
  <si>
    <t>Minimum input voltage for normal operation without pulse skipping</t>
    <phoneticPr fontId="3" type="noConversion"/>
  </si>
  <si>
    <t>mV</t>
    <phoneticPr fontId="10" type="noConversion"/>
  </si>
  <si>
    <r>
      <rPr>
        <sz val="11"/>
        <color theme="1"/>
        <rFont val="맑은 고딕"/>
        <family val="3"/>
        <charset val="129"/>
      </rPr>
      <t>△</t>
    </r>
    <r>
      <rPr>
        <sz val="11"/>
        <color theme="1"/>
        <rFont val="Calibri"/>
        <family val="2"/>
      </rPr>
      <t>IL calculation by recommend(A)</t>
    </r>
    <phoneticPr fontId="3" type="noConversion"/>
  </si>
  <si>
    <t>Input capacitance selection (rated value)</t>
    <phoneticPr fontId="3" type="noConversion"/>
  </si>
  <si>
    <t>V</t>
    <phoneticPr fontId="3" type="noConversion"/>
  </si>
  <si>
    <t>Input ripple at nominal input voltage and maximum load</t>
    <phoneticPr fontId="3" type="noConversion"/>
  </si>
  <si>
    <t>Input ripple at minimum input voltage and maximum load</t>
    <phoneticPr fontId="3" type="noConversion"/>
  </si>
  <si>
    <t>Input ripple at maximum input voltage and maximum load</t>
    <phoneticPr fontId="3" type="noConversion"/>
  </si>
  <si>
    <t>Input capacitor RMS current at nominal input voltage and maximum load</t>
    <phoneticPr fontId="3" type="noConversion"/>
  </si>
  <si>
    <t>Input capacitor RMS current at minimum input voltage and maximum load</t>
    <phoneticPr fontId="3" type="noConversion"/>
  </si>
  <si>
    <t>Input capacitor RMS current at maximum input voltage and maximum load</t>
    <phoneticPr fontId="3" type="noConversion"/>
  </si>
  <si>
    <t>A</t>
    <phoneticPr fontId="3" type="noConversion"/>
  </si>
  <si>
    <t>mV</t>
    <phoneticPr fontId="3" type="noConversion"/>
  </si>
  <si>
    <t>Fsw power constant</t>
    <phoneticPr fontId="10" type="noConversion"/>
  </si>
  <si>
    <r>
      <t>R</t>
    </r>
    <r>
      <rPr>
        <sz val="8"/>
        <color theme="1"/>
        <rFont val="맑은 고딕"/>
        <family val="2"/>
      </rPr>
      <t>RT/SYN</t>
    </r>
    <r>
      <rPr>
        <sz val="11"/>
        <color theme="1"/>
        <rFont val="맑은 고딕"/>
        <family val="3"/>
        <charset val="129"/>
      </rPr>
      <t xml:space="preserve"> setting power constant</t>
    </r>
    <phoneticPr fontId="10" type="noConversion"/>
  </si>
  <si>
    <r>
      <t>R</t>
    </r>
    <r>
      <rPr>
        <sz val="8"/>
        <color theme="1"/>
        <rFont val="맑은 고딕"/>
        <family val="2"/>
      </rPr>
      <t>RT/SYN</t>
    </r>
    <r>
      <rPr>
        <sz val="11"/>
        <color theme="1"/>
        <rFont val="맑은 고딕"/>
        <family val="3"/>
        <charset val="129"/>
      </rPr>
      <t xml:space="preserve"> setting times constant</t>
    </r>
    <phoneticPr fontId="10" type="noConversion"/>
  </si>
  <si>
    <t>Fsw times constant</t>
    <phoneticPr fontId="10" type="noConversion"/>
  </si>
  <si>
    <t>IEN_Hys(uA)</t>
    <phoneticPr fontId="10" type="noConversion"/>
  </si>
  <si>
    <t>Please select the part number</t>
    <phoneticPr fontId="3" type="noConversion"/>
  </si>
  <si>
    <r>
      <t>C</t>
    </r>
    <r>
      <rPr>
        <b/>
        <sz val="8"/>
        <color theme="1"/>
        <rFont val="新細明體"/>
        <family val="1"/>
        <charset val="136"/>
        <scheme val="minor"/>
      </rPr>
      <t>SS/TR</t>
    </r>
    <r>
      <rPr>
        <b/>
        <sz val="11"/>
        <color theme="1"/>
        <rFont val="新細明體"/>
        <family val="2"/>
        <charset val="129"/>
        <scheme val="minor"/>
      </rPr>
      <t xml:space="preserve"> should be large enough to ensure soft-start period ends after C</t>
    </r>
    <r>
      <rPr>
        <b/>
        <sz val="8"/>
        <color theme="1"/>
        <rFont val="新細明體"/>
        <family val="1"/>
        <charset val="136"/>
        <scheme val="minor"/>
      </rPr>
      <t>OUT</t>
    </r>
    <r>
      <rPr>
        <b/>
        <sz val="11"/>
        <color theme="1"/>
        <rFont val="新細明體"/>
        <family val="2"/>
        <charset val="129"/>
        <scheme val="minor"/>
      </rPr>
      <t xml:space="preserve"> is fully charged.</t>
    </r>
    <phoneticPr fontId="3" type="noConversion"/>
  </si>
  <si>
    <t>HOC_min(A)</t>
    <phoneticPr fontId="10" type="noConversion"/>
  </si>
  <si>
    <t>Internal Soft-Start Time</t>
    <phoneticPr fontId="10" type="noConversion"/>
  </si>
  <si>
    <t>a</t>
    <phoneticPr fontId="3" type="noConversion"/>
  </si>
  <si>
    <t>Minimum Css limited by effective output capacitance at no load.</t>
    <phoneticPr fontId="3" type="noConversion"/>
  </si>
  <si>
    <t>Feedback resistor selection for output voltage programming</t>
    <phoneticPr fontId="3" type="noConversion"/>
  </si>
  <si>
    <t>Input effective capacitance(uF) limited by Vpp</t>
    <phoneticPr fontId="10" type="noConversion"/>
  </si>
  <si>
    <t>It is recommended to keep the maximum input ripple below 1.3Vpp</t>
  </si>
  <si>
    <t>output voltage sag during load step with effective output capacitance and selected ESR</t>
    <phoneticPr fontId="3" type="noConversion"/>
  </si>
  <si>
    <t>output ripple at effective output capacitance and selected ESR</t>
    <phoneticPr fontId="3" type="noConversion"/>
  </si>
  <si>
    <t>allowed voltage change during load step (%)</t>
    <phoneticPr fontId="3" type="noConversion"/>
  </si>
  <si>
    <t>Make sure the input capacitors current rating is sufficient to handle the input RMS current</t>
  </si>
  <si>
    <t xml:space="preserve">In general, the crossover frequency is recommended to be 5% to 10% of switching frequency. Do NOT design the crossover frequency over 80kHz </t>
  </si>
  <si>
    <t>The minimum effective output capacitance to meet output ripple voltage requiment (No ESR consideration)</t>
  </si>
  <si>
    <t>Minimum effective output capacitance to meet output voltage sag requirement during step load changes in CCM mode</t>
  </si>
  <si>
    <t>A good compromise among size, efficiency, and transient response can be achieved by setting ΔIL around 10% to 50% of the IC rated output current</t>
    <phoneticPr fontId="3" type="noConversion"/>
  </si>
  <si>
    <t>Larger inductance values result in lower output ripple voltage and higher efficiency, but degraded transient response.</t>
  </si>
  <si>
    <t>Lower inductance values allow for smaller case size, but the increased ripple lowers the effective current limit threshold and increases the AC losses in the inductor. It also causes insufficient slope compensation and ultimately loop instability when the duty cycle approaches or exceeds 50%.</t>
  </si>
  <si>
    <t xml:space="preserve">The actual external Ccomp2 value can be lower than the calculated value as the IC internally already includes some COMP-GND capacitance: </t>
  </si>
  <si>
    <t>Ccomp2 (Option when using E-cap with high ESR)</t>
  </si>
  <si>
    <t>Ccomp2 (Option when using MLCC output cap and enhance noise immunity)</t>
  </si>
  <si>
    <t>Please add an external bootstrap diode between an external 5V voltage supply and the BOOT pin to improve enhancement of the high-side MOSFET and improve efficiency when the input voltage is below 5.5V or duty ratio is higher than 65%.</t>
    <phoneticPr fontId="3" type="noConversion"/>
  </si>
  <si>
    <t xml:space="preserve">allowed voltage change during load step VSAG </t>
    <phoneticPr fontId="3" type="noConversion"/>
  </si>
  <si>
    <t>The reverse voltage rating of freewheel diode should be equal to or greater than the VIN_MAX. The maximum average forward rectified current of freewheel diode should be equal to or greater than the maximum load current. The select forward voltage of Schottky Diode must be less than the restriction of forward voltage in below figures at operating temperature range to avoid the IC malfunction.</t>
    <phoneticPr fontId="3" type="noConversion"/>
  </si>
  <si>
    <t>Max Vin(ROC)</t>
    <phoneticPr fontId="10" type="noConversion"/>
  </si>
  <si>
    <t>Lower inductance values allow for smaller case size, but the increased ripple lowers the effective current limit threshold and increases the AC losses in the inductor. It also causes insufficient slope compensation and ultimately loop instability when the duty cycle approaches or exceeds 50%.</t>
    <phoneticPr fontId="3" type="noConversion"/>
  </si>
  <si>
    <t>V1</t>
  </si>
  <si>
    <t>Release</t>
  </si>
  <si>
    <t>RTQ296x</t>
    <phoneticPr fontId="10" type="noConversion"/>
  </si>
  <si>
    <t xml:space="preserve">The RTQ296x series are high-efficiency, peak current mode control asynchronous step-down converter which operates with input voltages from 4V to 60V. </t>
    <phoneticPr fontId="3" type="noConversion"/>
  </si>
  <si>
    <t>RTQ2960: 0.5A     RTQ2961: 1.5A    RTQ2962: 2.5A   RTQ2963: 3.5A   RTQ2965: 5A</t>
    <phoneticPr fontId="3" type="noConversion"/>
  </si>
  <si>
    <t>RTQ2960</t>
    <phoneticPr fontId="10" type="noConversion"/>
  </si>
  <si>
    <t>RTQ2961</t>
    <phoneticPr fontId="10" type="noConversion"/>
  </si>
  <si>
    <t>RTQ2962</t>
    <phoneticPr fontId="10" type="noConversion"/>
  </si>
  <si>
    <t>RTQ2963</t>
    <phoneticPr fontId="10" type="noConversion"/>
  </si>
  <si>
    <t>RTQ2965</t>
    <phoneticPr fontId="10" type="noConversion"/>
  </si>
  <si>
    <t>RTQ2940</t>
    <phoneticPr fontId="10" type="noConversion"/>
  </si>
  <si>
    <t>RTQ2941</t>
    <phoneticPr fontId="10" type="noConversion"/>
  </si>
  <si>
    <t>RTQ2943</t>
    <phoneticPr fontId="10" type="noConversion"/>
  </si>
  <si>
    <t>RTQ2945</t>
    <phoneticPr fontId="10" type="noConversion"/>
  </si>
  <si>
    <t>RTQ2942</t>
    <phoneticPr fontId="10" type="noConversion"/>
  </si>
  <si>
    <t>RTQ294x</t>
    <phoneticPr fontId="10" type="noConversion"/>
  </si>
  <si>
    <t>RTQ2949A</t>
    <phoneticPr fontId="10" type="noConversion"/>
  </si>
  <si>
    <t>RTQ2949</t>
    <phoneticPr fontId="10" type="noConversion"/>
  </si>
  <si>
    <t>RTQ2945A</t>
    <phoneticPr fontId="10" type="noConversion"/>
  </si>
  <si>
    <t>RTQ2960/61: 5.7pF; RTQ2962: 18pF; RTQ2963/65: 26pF; you can substract these values from the calculated Ccomp2 value</t>
    <phoneticPr fontId="3" type="noConversion"/>
  </si>
  <si>
    <t>PS: Only the RTQ296xGQW (DFN package) features a Power-Good Output.</t>
    <phoneticPr fontId="3" type="noConversion"/>
  </si>
  <si>
    <t>PS: Only the RTQ296xGQW (DFN package)  provides adjustable soft-start function.</t>
    <phoneticPr fontId="3" type="noConversion"/>
  </si>
  <si>
    <t xml:space="preserve">The RTQ294x series are high-efficiency, peak current mode control asynchronous step-down converter which operates with input voltages from 4V to 45V. </t>
    <phoneticPr fontId="10" type="noConversion"/>
  </si>
  <si>
    <t>RTQ2940: 0.5A     RTQ2941: 1.5A    RTQ2942: 2.5A   RTQ2943: 3.5A   RTQ2949/49A: 3A   RTQ2945/45A: 5A</t>
    <phoneticPr fontId="10" type="noConversion"/>
  </si>
  <si>
    <t>PS: Only the RTQ294xGQW (DFN package)  provides adjustable soft-start function.</t>
    <phoneticPr fontId="3" type="noConversion"/>
  </si>
  <si>
    <t>PS: Only the RTQ294xGQW (DFN package) features a Power-Good Output.</t>
    <phoneticPr fontId="3" type="noConversion"/>
  </si>
  <si>
    <t>RTQ2940/41: 5.7pF; RTQ2942/49/49A: 18pF; RTQ2943/45/45A: 26pF; you can substract these values from the calculated Ccomp2 value</t>
    <phoneticPr fontId="10" type="noConversion"/>
  </si>
  <si>
    <t>RTQ2945</t>
  </si>
  <si>
    <t>RTQ2965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</si>
</sst>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Red]\(0.00\)"/>
    <numFmt numFmtId="177" formatCode="0.000_);[Red]\(0.000\)"/>
    <numFmt numFmtId="178" formatCode="0.000_ "/>
    <numFmt numFmtId="179" formatCode="0.00_ "/>
    <numFmt numFmtId="180" formatCode="0.0000_ "/>
  </numFmts>
  <fonts count="46">
    <font>
      <sz val="11"/>
      <color theme="1"/>
      <name val="新細明體"/>
      <family val="2"/>
      <charset val="129"/>
      <scheme val="minor"/>
    </font>
    <font>
      <sz val="11"/>
      <color theme="1"/>
      <name val="新細明體"/>
      <family val="2"/>
      <scheme val="minor"/>
    </font>
    <font>
      <sz val="12"/>
      <color theme="1"/>
      <name val="新細明體"/>
      <family val="2"/>
      <charset val="136"/>
      <scheme val="minor"/>
    </font>
    <font>
      <sz val="8"/>
      <name val="新細明體"/>
      <family val="2"/>
      <charset val="129"/>
      <scheme val="minor"/>
    </font>
    <font>
      <sz val="11"/>
      <color theme="1"/>
      <name val="맑은 고딕"/>
      <family val="3"/>
      <charset val="129"/>
    </font>
    <font>
      <b/>
      <sz val="11"/>
      <color rgb="FFFF0000"/>
      <name val="新細明體"/>
      <family val="1"/>
      <charset val="136"/>
      <scheme val="minor"/>
    </font>
    <font>
      <b/>
      <sz val="11"/>
      <color theme="1"/>
      <name val="新細明體"/>
      <family val="1"/>
      <charset val="136"/>
      <scheme val="minor"/>
    </font>
    <font>
      <b/>
      <sz val="11"/>
      <name val="新細明體"/>
      <family val="1"/>
      <charset val="136"/>
      <scheme val="minor"/>
    </font>
    <font>
      <b/>
      <sz val="11"/>
      <color theme="1"/>
      <name val="新細明體"/>
      <family val="2"/>
      <charset val="129"/>
      <scheme val="minor"/>
    </font>
    <font>
      <b/>
      <sz val="11"/>
      <color theme="1"/>
      <name val="新細明體"/>
      <family val="1"/>
      <charset val="136"/>
    </font>
    <font>
      <sz val="9"/>
      <name val="新細明體"/>
      <family val="3"/>
      <charset val="136"/>
      <scheme val="minor"/>
    </font>
    <font>
      <sz val="11"/>
      <color theme="1"/>
      <name val="Calibri"/>
      <family val="2"/>
    </font>
    <font>
      <sz val="12"/>
      <color rgb="FF1F497D"/>
      <name val="新細明體"/>
      <family val="1"/>
      <charset val="136"/>
      <scheme val="minor"/>
    </font>
    <font>
      <sz val="12"/>
      <color rgb="FF1F497D"/>
      <name val="Calibri"/>
      <family val="2"/>
    </font>
    <font>
      <sz val="12"/>
      <color rgb="FF1F497D"/>
      <name val="新細明體"/>
      <family val="1"/>
      <charset val="136"/>
    </font>
    <font>
      <sz val="11"/>
      <color theme="1"/>
      <name val="新細明體"/>
      <family val="1"/>
      <charset val="136"/>
      <scheme val="minor"/>
    </font>
    <font>
      <b/>
      <sz val="8"/>
      <color theme="1"/>
      <name val="新細明體"/>
      <family val="1"/>
      <charset val="136"/>
      <scheme val="minor"/>
    </font>
    <font>
      <b/>
      <sz val="20"/>
      <name val="Arial"/>
      <family val="2"/>
    </font>
    <font>
      <sz val="9"/>
      <name val="新細明體"/>
      <family val="1"/>
      <charset val="136"/>
    </font>
    <font>
      <b/>
      <i/>
      <sz val="12"/>
      <color indexed="10"/>
      <name val="Arial"/>
      <family val="2"/>
    </font>
    <font>
      <b/>
      <sz val="12"/>
      <name val="Arial"/>
      <family val="2"/>
    </font>
    <font>
      <sz val="12"/>
      <name val="Arial"/>
      <family val="2"/>
    </font>
    <font>
      <b/>
      <sz val="12"/>
      <color indexed="10"/>
      <name val="Arial"/>
      <family val="2"/>
    </font>
    <font>
      <sz val="14"/>
      <color rgb="FF00B050"/>
      <name val="Arial"/>
      <family val="2"/>
    </font>
    <font>
      <sz val="11"/>
      <color rgb="FFFF0000"/>
      <name val="新細明體"/>
      <family val="1"/>
      <charset val="136"/>
      <scheme val="minor"/>
    </font>
    <font>
      <b/>
      <sz val="11"/>
      <color theme="1"/>
      <name val="Calibri"/>
      <family val="2"/>
    </font>
    <font>
      <b/>
      <sz val="12"/>
      <color rgb="FF00B050"/>
      <name val="Calibri"/>
      <family val="2"/>
    </font>
    <font>
      <b/>
      <sz val="12"/>
      <color theme="1"/>
      <name val="Calibri"/>
      <family val="2"/>
    </font>
    <font>
      <b/>
      <sz val="16"/>
      <color rgb="FF00B050"/>
      <name val="Calibri"/>
      <family val="2"/>
    </font>
    <font>
      <b/>
      <sz val="12"/>
      <color theme="1"/>
      <name val="新細明體"/>
      <family val="1"/>
      <charset val="136"/>
    </font>
    <font>
      <b/>
      <sz val="12"/>
      <name val="Calibri"/>
      <family val="2"/>
    </font>
    <font>
      <b/>
      <sz val="12"/>
      <color rgb="FFFF0000"/>
      <name val="Calibri"/>
      <family val="2"/>
    </font>
    <font>
      <b/>
      <sz val="12"/>
      <color rgb="FFFF33CC"/>
      <name val="Calibri"/>
      <family val="2"/>
    </font>
    <font>
      <sz val="11"/>
      <name val="Calibri"/>
      <family val="2"/>
    </font>
    <font>
      <b/>
      <sz val="12"/>
      <color theme="0"/>
      <name val="Calibri"/>
      <family val="2"/>
    </font>
    <font>
      <b/>
      <sz val="11"/>
      <color theme="0" tint="-4.9989318521683403E-2"/>
      <name val="Calibri"/>
      <family val="2"/>
    </font>
    <font>
      <b/>
      <sz val="12"/>
      <color theme="0" tint="-4.9989318521683403E-2"/>
      <name val="Calibri"/>
      <family val="2"/>
    </font>
    <font>
      <sz val="8"/>
      <color theme="1"/>
      <name val="맑은 고딕"/>
      <family val="2"/>
    </font>
    <font>
      <b/>
      <sz val="12"/>
      <color theme="1"/>
      <name val="新細明體"/>
      <family val="2"/>
      <scheme val="minor"/>
    </font>
    <font>
      <b/>
      <sz val="16"/>
      <color rgb="FFFF0000"/>
      <name val="Calibri"/>
      <family val="2"/>
    </font>
    <font>
      <b/>
      <sz val="10"/>
      <color theme="1"/>
      <name val="新細明體"/>
      <family val="2"/>
      <charset val="129"/>
      <scheme val="minor"/>
    </font>
    <font>
      <b/>
      <sz val="10"/>
      <color theme="1"/>
      <name val="Calibri"/>
      <family val="2"/>
    </font>
    <font>
      <b/>
      <sz val="10"/>
      <color theme="1"/>
      <name val="新細明體"/>
      <family val="2"/>
      <scheme val="minor"/>
    </font>
    <font>
      <b/>
      <sz val="14"/>
      <color rgb="FF00B050"/>
      <name val="Calibri"/>
      <family val="2"/>
    </font>
    <font>
      <sz val="11"/>
      <color rgb="FF00B050"/>
      <name val="Calibri"/>
      <family val="2"/>
    </font>
    <font>
      <sz val="11"/>
      <color rgb="FFFF0000"/>
      <name val="新細明體"/>
      <family val="2"/>
      <charset val="129"/>
      <scheme val="minor"/>
    </font>
  </fonts>
  <fills count="12">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7" tint="0.79998168889431442"/>
        <bgColor indexed="64"/>
      </patternFill>
    </fill>
    <fill>
      <patternFill patternType="solid">
        <fgColor rgb="FFFFC000"/>
        <bgColor indexed="64"/>
      </patternFill>
    </fill>
    <fill>
      <patternFill patternType="solid">
        <fgColor indexed="13"/>
        <bgColor indexed="64"/>
      </patternFill>
    </fill>
    <fill>
      <patternFill patternType="solid">
        <fgColor indexed="11"/>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7"/>
        <bgColor indexed="64"/>
      </patternFill>
    </fill>
    <fill>
      <patternFill patternType="solid">
        <fgColor theme="5"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97">
    <xf numFmtId="0" fontId="0" fillId="0" borderId="0" xfId="0">
      <alignment vertical="center"/>
    </xf>
    <xf numFmtId="176" fontId="0" fillId="3" borderId="0" xfId="0" applyNumberFormat="1" applyFill="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0" fillId="0" borderId="1" xfId="0" applyBorder="1">
      <alignment vertical="center"/>
    </xf>
    <xf numFmtId="14" fontId="0" fillId="0" borderId="1" xfId="0" applyNumberFormat="1" applyBorder="1">
      <alignment vertical="center"/>
    </xf>
    <xf numFmtId="0" fontId="0" fillId="0" borderId="1" xfId="0" applyBorder="1" applyAlignment="1">
      <alignment vertical="center" wrapText="1"/>
    </xf>
    <xf numFmtId="0" fontId="0" fillId="5" borderId="1" xfId="0" applyFill="1" applyBorder="1">
      <alignment vertical="center"/>
    </xf>
    <xf numFmtId="0" fontId="2" fillId="0" borderId="0" xfId="1">
      <alignment vertical="center"/>
    </xf>
    <xf numFmtId="0" fontId="21" fillId="6" borderId="1" xfId="1" applyFont="1" applyFill="1" applyBorder="1">
      <alignment vertical="center"/>
    </xf>
    <xf numFmtId="0" fontId="22" fillId="7" borderId="1" xfId="1" applyFont="1" applyFill="1" applyBorder="1" applyAlignment="1">
      <alignment horizontal="center" vertical="center"/>
    </xf>
    <xf numFmtId="0" fontId="20" fillId="0" borderId="1" xfId="1" applyFont="1" applyFill="1" applyBorder="1" applyAlignment="1">
      <alignment horizontal="center" vertical="center"/>
    </xf>
    <xf numFmtId="0" fontId="11" fillId="5" borderId="1" xfId="0" applyFont="1" applyFill="1" applyBorder="1" applyAlignment="1">
      <alignment horizontal="center" vertical="center"/>
    </xf>
    <xf numFmtId="0" fontId="11" fillId="2" borderId="1" xfId="0" applyFont="1" applyFill="1" applyBorder="1" applyAlignment="1">
      <alignment horizontal="center" vertical="center"/>
    </xf>
    <xf numFmtId="0" fontId="11" fillId="9" borderId="1" xfId="0" applyFont="1" applyFill="1" applyBorder="1" applyAlignment="1">
      <alignment horizontal="center" vertical="center"/>
    </xf>
    <xf numFmtId="0" fontId="0" fillId="9" borderId="1" xfId="0" applyFill="1" applyBorder="1">
      <alignment vertical="center"/>
    </xf>
    <xf numFmtId="0" fontId="4" fillId="5" borderId="1" xfId="0" applyFont="1" applyFill="1" applyBorder="1" applyAlignment="1">
      <alignment horizontal="center" vertical="center"/>
    </xf>
    <xf numFmtId="0" fontId="4" fillId="2" borderId="1" xfId="0" applyFont="1" applyFill="1" applyBorder="1" applyAlignment="1">
      <alignment horizontal="center" vertical="center"/>
    </xf>
    <xf numFmtId="0" fontId="11" fillId="3" borderId="1" xfId="0" applyFont="1" applyFill="1" applyBorder="1" applyAlignment="1">
      <alignment horizontal="center" vertical="center"/>
    </xf>
    <xf numFmtId="0" fontId="0" fillId="3" borderId="1" xfId="0" applyFill="1" applyBorder="1">
      <alignment vertical="center"/>
    </xf>
    <xf numFmtId="179" fontId="27" fillId="3" borderId="0" xfId="0" applyNumberFormat="1" applyFont="1" applyFill="1" applyProtection="1">
      <alignment vertical="center"/>
      <protection hidden="1"/>
    </xf>
    <xf numFmtId="178" fontId="27" fillId="3" borderId="0" xfId="0" applyNumberFormat="1" applyFont="1" applyFill="1" applyProtection="1">
      <alignment vertical="center"/>
      <protection hidden="1"/>
    </xf>
    <xf numFmtId="179" fontId="27" fillId="3" borderId="0" xfId="0" applyNumberFormat="1" applyFont="1" applyFill="1" applyAlignment="1" applyProtection="1">
      <alignment horizontal="right" vertical="center"/>
      <protection hidden="1"/>
    </xf>
    <xf numFmtId="0" fontId="27" fillId="2" borderId="0" xfId="0" applyFont="1" applyFill="1" applyProtection="1">
      <alignment vertical="center"/>
      <protection locked="0"/>
    </xf>
    <xf numFmtId="0" fontId="0" fillId="0" borderId="0" xfId="0" applyFont="1" applyProtection="1">
      <alignment vertical="center"/>
      <protection locked="0"/>
    </xf>
    <xf numFmtId="0" fontId="25" fillId="4" borderId="0" xfId="0" applyFont="1" applyFill="1" applyAlignment="1" applyProtection="1">
      <alignment vertical="top" wrapText="1"/>
      <protection locked="0"/>
    </xf>
    <xf numFmtId="0" fontId="27" fillId="4" borderId="0" xfId="0" applyFont="1" applyFill="1" applyAlignment="1" applyProtection="1">
      <alignment vertical="top" wrapText="1"/>
      <protection locked="0"/>
    </xf>
    <xf numFmtId="0" fontId="6" fillId="4" borderId="0" xfId="0" applyFont="1" applyFill="1" applyAlignment="1" applyProtection="1">
      <alignment vertical="top" wrapText="1"/>
      <protection locked="0"/>
    </xf>
    <xf numFmtId="0" fontId="25" fillId="4" borderId="0" xfId="0" applyFont="1" applyFill="1" applyAlignment="1" applyProtection="1">
      <alignment horizontal="center" vertical="center"/>
      <protection locked="0"/>
    </xf>
    <xf numFmtId="0" fontId="27" fillId="4" borderId="0" xfId="0" applyFont="1" applyFill="1" applyAlignment="1" applyProtection="1">
      <alignment horizontal="center" vertical="center"/>
      <protection locked="0"/>
    </xf>
    <xf numFmtId="0" fontId="6" fillId="4" borderId="0" xfId="0" applyFont="1" applyFill="1" applyAlignment="1" applyProtection="1">
      <alignment horizontal="center" vertical="center"/>
      <protection locked="0"/>
    </xf>
    <xf numFmtId="0" fontId="28" fillId="8" borderId="0" xfId="0" applyFont="1" applyFill="1" applyAlignment="1" applyProtection="1">
      <alignment vertical="top" wrapText="1"/>
      <protection locked="0"/>
    </xf>
    <xf numFmtId="0" fontId="27" fillId="5" borderId="0" xfId="0" applyFont="1" applyFill="1" applyAlignment="1" applyProtection="1">
      <alignment vertical="center" wrapText="1"/>
      <protection locked="0"/>
    </xf>
    <xf numFmtId="0" fontId="27" fillId="0" borderId="0" xfId="0" applyFont="1" applyProtection="1">
      <alignment vertical="center"/>
      <protection locked="0"/>
    </xf>
    <xf numFmtId="0" fontId="6" fillId="0" borderId="0" xfId="0" applyFont="1" applyProtection="1">
      <alignment vertical="center"/>
      <protection locked="0"/>
    </xf>
    <xf numFmtId="0" fontId="27" fillId="0" borderId="0" xfId="0" applyFont="1" applyAlignment="1" applyProtection="1">
      <alignment horizontal="left" vertical="center"/>
      <protection locked="0"/>
    </xf>
    <xf numFmtId="0" fontId="30" fillId="0" borderId="0" xfId="0" applyFont="1" applyProtection="1">
      <alignment vertical="center"/>
      <protection locked="0"/>
    </xf>
    <xf numFmtId="0" fontId="27" fillId="0" borderId="0" xfId="0" applyFont="1" applyFill="1" applyAlignment="1" applyProtection="1">
      <alignment vertical="center" wrapText="1"/>
      <protection locked="0"/>
    </xf>
    <xf numFmtId="0" fontId="27" fillId="0" borderId="0" xfId="0" applyFont="1" applyFill="1" applyProtection="1">
      <alignment vertical="center"/>
      <protection locked="0"/>
    </xf>
    <xf numFmtId="0" fontId="8" fillId="0" borderId="0" xfId="0" applyFont="1" applyProtection="1">
      <alignment vertical="center"/>
      <protection locked="0"/>
    </xf>
    <xf numFmtId="0" fontId="9" fillId="0" borderId="0" xfId="0" applyFont="1" applyProtection="1">
      <alignment vertical="center"/>
      <protection locked="0"/>
    </xf>
    <xf numFmtId="0" fontId="0" fillId="0" borderId="0" xfId="0" applyFont="1" applyAlignment="1" applyProtection="1">
      <alignment horizontal="left" vertical="center"/>
      <protection locked="0"/>
    </xf>
    <xf numFmtId="0" fontId="27" fillId="5" borderId="0" xfId="0" applyFont="1" applyFill="1" applyAlignment="1" applyProtection="1">
      <alignment vertical="top" wrapText="1"/>
      <protection locked="0"/>
    </xf>
    <xf numFmtId="0" fontId="38" fillId="0" borderId="0" xfId="0" applyFont="1" applyProtection="1">
      <alignment vertical="center"/>
      <protection locked="0"/>
    </xf>
    <xf numFmtId="0" fontId="25" fillId="0" borderId="0" xfId="0" applyFont="1" applyProtection="1">
      <alignment vertical="center"/>
      <protection locked="0"/>
    </xf>
    <xf numFmtId="0" fontId="0" fillId="0" borderId="0" xfId="0" applyFont="1" applyAlignment="1" applyProtection="1">
      <alignment horizontal="left" vertical="top"/>
      <protection locked="0"/>
    </xf>
    <xf numFmtId="0" fontId="41" fillId="5" borderId="0" xfId="0" applyFont="1" applyFill="1" applyAlignment="1" applyProtection="1">
      <alignment vertical="center" wrapText="1"/>
      <protection locked="0"/>
    </xf>
    <xf numFmtId="0" fontId="40" fillId="5" borderId="0" xfId="0" applyFont="1" applyFill="1" applyAlignment="1" applyProtection="1">
      <alignment vertical="center" wrapText="1"/>
      <protection locked="0"/>
    </xf>
    <xf numFmtId="0" fontId="8" fillId="5" borderId="0" xfId="0" applyFont="1" applyFill="1" applyAlignment="1" applyProtection="1">
      <alignment vertical="center" wrapText="1"/>
      <protection locked="0"/>
    </xf>
    <xf numFmtId="0" fontId="7" fillId="0" borderId="0" xfId="0" applyFont="1" applyProtection="1">
      <alignment vertical="center"/>
      <protection locked="0"/>
    </xf>
    <xf numFmtId="0" fontId="30" fillId="0" borderId="0" xfId="0" applyFont="1" applyAlignment="1" applyProtection="1">
      <protection locked="0"/>
    </xf>
    <xf numFmtId="0" fontId="30" fillId="2" borderId="0" xfId="0" applyFont="1" applyFill="1" applyAlignment="1" applyProtection="1">
      <alignment horizontal="right" vertical="center"/>
      <protection locked="0"/>
    </xf>
    <xf numFmtId="0" fontId="40" fillId="10" borderId="0" xfId="0" applyFont="1" applyFill="1" applyProtection="1">
      <alignment vertical="center"/>
      <protection locked="0"/>
    </xf>
    <xf numFmtId="0" fontId="34" fillId="0" borderId="0" xfId="0" applyFont="1" applyAlignment="1" applyProtection="1">
      <alignment horizontal="left" vertical="center"/>
      <protection locked="0"/>
    </xf>
    <xf numFmtId="0" fontId="42" fillId="5" borderId="0" xfId="0" applyFont="1" applyFill="1" applyAlignment="1" applyProtection="1">
      <alignment vertical="center" wrapText="1"/>
      <protection locked="0"/>
    </xf>
    <xf numFmtId="176" fontId="27" fillId="2" borderId="0" xfId="0" applyNumberFormat="1" applyFont="1" applyFill="1" applyProtection="1">
      <alignment vertical="center"/>
      <protection locked="0"/>
    </xf>
    <xf numFmtId="0" fontId="1" fillId="0" borderId="0" xfId="0" applyFont="1" applyProtection="1">
      <alignment vertical="center"/>
      <protection locked="0"/>
    </xf>
    <xf numFmtId="0" fontId="30" fillId="2" borderId="0" xfId="0" applyFont="1" applyFill="1" applyProtection="1">
      <alignment vertical="center"/>
      <protection locked="0"/>
    </xf>
    <xf numFmtId="177" fontId="30" fillId="2" borderId="0" xfId="0" applyNumberFormat="1" applyFont="1" applyFill="1" applyProtection="1">
      <alignment vertical="center"/>
      <protection locked="0"/>
    </xf>
    <xf numFmtId="0" fontId="32" fillId="0" borderId="0" xfId="0" applyFont="1" applyProtection="1">
      <alignment vertical="center"/>
      <protection locked="0"/>
    </xf>
    <xf numFmtId="0" fontId="23" fillId="0" borderId="0" xfId="0" applyFont="1" applyAlignment="1" applyProtection="1">
      <alignment horizontal="left" vertical="top" wrapText="1"/>
      <protection locked="0"/>
    </xf>
    <xf numFmtId="0" fontId="24" fillId="0" borderId="0" xfId="0" applyFont="1" applyAlignment="1" applyProtection="1">
      <alignment vertical="center" wrapText="1"/>
      <protection locked="0"/>
    </xf>
    <xf numFmtId="0" fontId="43" fillId="0" borderId="0" xfId="0" applyFont="1" applyProtection="1">
      <alignment vertical="center"/>
      <protection locked="0"/>
    </xf>
    <xf numFmtId="0" fontId="15" fillId="0" borderId="0" xfId="0" applyFont="1" applyProtection="1">
      <alignment vertical="center"/>
      <protection locked="0"/>
    </xf>
    <xf numFmtId="0" fontId="31" fillId="0" borderId="0" xfId="0" applyFont="1" applyProtection="1">
      <alignment vertical="center"/>
      <protection locked="0"/>
    </xf>
    <xf numFmtId="0" fontId="5" fillId="0" borderId="0" xfId="0" applyFont="1" applyProtection="1">
      <alignment vertical="center"/>
      <protection locked="0"/>
    </xf>
    <xf numFmtId="0" fontId="24" fillId="0" borderId="0" xfId="0" applyFont="1" applyProtection="1">
      <alignment vertical="center"/>
      <protection locked="0"/>
    </xf>
    <xf numFmtId="0" fontId="26" fillId="0" borderId="0" xfId="0" applyFont="1" applyProtection="1">
      <alignment vertical="center"/>
      <protection locked="0"/>
    </xf>
    <xf numFmtId="0" fontId="44" fillId="0" borderId="0" xfId="0" applyFont="1" applyProtection="1">
      <alignment vertical="center"/>
      <protection locked="0"/>
    </xf>
    <xf numFmtId="0" fontId="35" fillId="0" borderId="0" xfId="0" applyFont="1" applyProtection="1">
      <alignment vertical="center"/>
      <protection locked="0"/>
    </xf>
    <xf numFmtId="0" fontId="34" fillId="0" borderId="0" xfId="0" applyFont="1" applyProtection="1">
      <alignment vertical="center"/>
      <protection locked="0"/>
    </xf>
    <xf numFmtId="0" fontId="34" fillId="0" borderId="0" xfId="0" applyFont="1" applyAlignment="1" applyProtection="1">
      <alignment horizontal="left" vertical="center" wrapText="1"/>
      <protection locked="0"/>
    </xf>
    <xf numFmtId="0" fontId="36" fillId="0" borderId="0" xfId="0" applyFont="1" applyProtection="1">
      <alignment vertical="center"/>
      <protection locked="0"/>
    </xf>
    <xf numFmtId="180" fontId="27" fillId="3" borderId="0" xfId="0" applyNumberFormat="1" applyFont="1" applyFill="1" applyAlignment="1" applyProtection="1">
      <alignment horizontal="right" vertical="center"/>
      <protection hidden="1"/>
    </xf>
    <xf numFmtId="0" fontId="11" fillId="11" borderId="1" xfId="0" applyFont="1" applyFill="1" applyBorder="1" applyAlignment="1">
      <alignment horizontal="center" vertical="center"/>
    </xf>
    <xf numFmtId="0" fontId="4" fillId="11" borderId="1" xfId="0" applyFont="1" applyFill="1" applyBorder="1" applyAlignment="1">
      <alignment horizontal="center" vertical="center"/>
    </xf>
    <xf numFmtId="0" fontId="0" fillId="11" borderId="1" xfId="0" applyFill="1" applyBorder="1">
      <alignment vertical="center"/>
    </xf>
    <xf numFmtId="0" fontId="45" fillId="0" borderId="0" xfId="0" applyFont="1" applyAlignment="1" applyProtection="1">
      <alignment horizontal="left" vertical="center"/>
      <protection locked="0"/>
    </xf>
    <xf numFmtId="0" fontId="30" fillId="0" borderId="0" xfId="0" applyFont="1" applyAlignment="1" applyProtection="1">
      <alignment horizontal="left" vertical="center"/>
      <protection locked="0"/>
    </xf>
    <xf numFmtId="0" fontId="33" fillId="2" borderId="1" xfId="0" applyFont="1" applyFill="1" applyBorder="1" applyAlignment="1">
      <alignment horizontal="center" vertical="center"/>
    </xf>
    <xf numFmtId="0" fontId="0" fillId="0" borderId="0" xfId="0" applyAlignment="1">
      <alignment horizontal="center" vertical="center"/>
    </xf>
    <xf numFmtId="14" fontId="20" fillId="0" borderId="1" xfId="1" applyNumberFormat="1" applyFont="1" applyFill="1" applyBorder="1" applyAlignment="1">
      <alignment horizontal="center" vertical="center"/>
    </xf>
    <xf numFmtId="0" fontId="20" fillId="0" borderId="1" xfId="1" applyFont="1" applyFill="1" applyBorder="1" applyAlignment="1">
      <alignment horizontal="center" vertical="center"/>
    </xf>
    <xf numFmtId="0" fontId="20" fillId="0" borderId="2" xfId="1" applyFont="1" applyFill="1" applyBorder="1" applyAlignment="1">
      <alignment horizontal="left" vertical="center"/>
    </xf>
    <xf numFmtId="0" fontId="20" fillId="0" borderId="3" xfId="1" applyFont="1" applyFill="1" applyBorder="1" applyAlignment="1">
      <alignment horizontal="left" vertical="center"/>
    </xf>
    <xf numFmtId="0" fontId="20" fillId="0" borderId="4" xfId="1" applyFont="1" applyFill="1" applyBorder="1" applyAlignment="1">
      <alignment horizontal="left" vertical="center"/>
    </xf>
    <xf numFmtId="0" fontId="17" fillId="7" borderId="0" xfId="1" applyFont="1" applyFill="1" applyAlignment="1">
      <alignment horizontal="center" vertical="center"/>
    </xf>
    <xf numFmtId="0" fontId="19" fillId="7" borderId="1" xfId="1" applyFont="1" applyFill="1" applyBorder="1" applyAlignment="1">
      <alignment horizontal="left" vertical="center"/>
    </xf>
    <xf numFmtId="0" fontId="21" fillId="0" borderId="1" xfId="1" applyFont="1" applyBorder="1" applyAlignment="1">
      <alignment horizontal="left" vertical="center"/>
    </xf>
    <xf numFmtId="0" fontId="22" fillId="7" borderId="1" xfId="1" applyFont="1" applyFill="1" applyBorder="1" applyAlignment="1">
      <alignment horizontal="center" vertical="center"/>
    </xf>
    <xf numFmtId="0" fontId="40" fillId="10" borderId="0" xfId="0" applyFont="1" applyFill="1" applyAlignment="1" applyProtection="1">
      <alignment horizontal="left" vertical="center"/>
      <protection locked="0"/>
    </xf>
    <xf numFmtId="0" fontId="26" fillId="0" borderId="0" xfId="0" applyFont="1" applyAlignment="1" applyProtection="1">
      <alignment horizontal="left" vertical="top" wrapText="1"/>
      <protection locked="0"/>
    </xf>
    <xf numFmtId="0" fontId="28" fillId="8" borderId="0" xfId="0" applyFont="1" applyFill="1" applyAlignment="1" applyProtection="1">
      <alignment horizontal="left" vertical="top" wrapText="1"/>
      <protection locked="0"/>
    </xf>
    <xf numFmtId="0" fontId="27" fillId="0" borderId="0" xfId="0" applyFont="1" applyAlignment="1" applyProtection="1">
      <alignment horizontal="left" vertical="top" wrapText="1"/>
      <protection locked="0"/>
    </xf>
    <xf numFmtId="0" fontId="39" fillId="4" borderId="0" xfId="0" applyFont="1" applyFill="1" applyAlignment="1" applyProtection="1">
      <alignment horizontal="center" vertical="center"/>
      <protection locked="0"/>
    </xf>
    <xf numFmtId="0" fontId="25" fillId="4" borderId="0" xfId="0" applyFont="1" applyFill="1" applyBorder="1" applyAlignment="1" applyProtection="1">
      <alignment horizontal="left" vertical="top" wrapText="1"/>
      <protection locked="0"/>
    </xf>
  </cellXfs>
  <cellStyles count="2">
    <cellStyle name="一般" xfId="0" builtinId="0"/>
    <cellStyle name="一般 2" xfId="1"/>
  </cellStyles>
  <dxfs count="1">
    <dxf>
      <font>
        <color rgb="FFFF0000"/>
      </font>
      <fill>
        <patternFill>
          <bgColor rgb="FFFFFF00"/>
        </patternFill>
      </fill>
    </dxf>
  </dxfs>
  <tableStyles count="0" defaultTableStyle="TableStyleMedium2" defaultPivotStyle="PivotStyleLight16"/>
  <colors>
    <mruColors>
      <color rgb="FFFF000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jpe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s>
</file>

<file path=xl/drawings/_rels/drawing2.xml.rels><?xml version="1.0" encoding="UTF-8" standalone="yes"?>
<Relationships xmlns="http://schemas.openxmlformats.org/package/2006/relationships"><Relationship Id="rId8" Type="http://schemas.openxmlformats.org/officeDocument/2006/relationships/image" Target="../media/image7.png"/><Relationship Id="rId13" Type="http://schemas.openxmlformats.org/officeDocument/2006/relationships/image" Target="../media/image12.png"/><Relationship Id="rId18" Type="http://schemas.openxmlformats.org/officeDocument/2006/relationships/image" Target="../media/image17.png"/><Relationship Id="rId3" Type="http://schemas.openxmlformats.org/officeDocument/2006/relationships/image" Target="../media/image2.png"/><Relationship Id="rId21" Type="http://schemas.openxmlformats.org/officeDocument/2006/relationships/image" Target="../media/image20.jpeg"/><Relationship Id="rId7" Type="http://schemas.openxmlformats.org/officeDocument/2006/relationships/image" Target="../media/image6.png"/><Relationship Id="rId12" Type="http://schemas.openxmlformats.org/officeDocument/2006/relationships/image" Target="../media/image11.png"/><Relationship Id="rId17" Type="http://schemas.openxmlformats.org/officeDocument/2006/relationships/image" Target="../media/image16.png"/><Relationship Id="rId2" Type="http://schemas.openxmlformats.org/officeDocument/2006/relationships/image" Target="../media/image1.png"/><Relationship Id="rId16" Type="http://schemas.openxmlformats.org/officeDocument/2006/relationships/image" Target="../media/image15.png"/><Relationship Id="rId20" Type="http://schemas.openxmlformats.org/officeDocument/2006/relationships/image" Target="../media/image19.png"/><Relationship Id="rId1" Type="http://schemas.openxmlformats.org/officeDocument/2006/relationships/image" Target="../media/image23.png"/><Relationship Id="rId6" Type="http://schemas.openxmlformats.org/officeDocument/2006/relationships/image" Target="../media/image5.png"/><Relationship Id="rId11" Type="http://schemas.openxmlformats.org/officeDocument/2006/relationships/image" Target="../media/image10.png"/><Relationship Id="rId5" Type="http://schemas.openxmlformats.org/officeDocument/2006/relationships/image" Target="../media/image4.png"/><Relationship Id="rId15" Type="http://schemas.openxmlformats.org/officeDocument/2006/relationships/image" Target="../media/image14.png"/><Relationship Id="rId10" Type="http://schemas.openxmlformats.org/officeDocument/2006/relationships/image" Target="../media/image9.png"/><Relationship Id="rId19" Type="http://schemas.openxmlformats.org/officeDocument/2006/relationships/image" Target="../media/image18.png"/><Relationship Id="rId4" Type="http://schemas.openxmlformats.org/officeDocument/2006/relationships/image" Target="../media/image3.png"/><Relationship Id="rId9" Type="http://schemas.openxmlformats.org/officeDocument/2006/relationships/image" Target="../media/image8.png"/><Relationship Id="rId14" Type="http://schemas.openxmlformats.org/officeDocument/2006/relationships/image" Target="../media/image13.png"/><Relationship Id="rId22" Type="http://schemas.openxmlformats.org/officeDocument/2006/relationships/image" Target="../media/image2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4.png"/></Relationships>
</file>

<file path=xl/drawings/_rels/drawing4.xml.rels><?xml version="1.0" encoding="UTF-8" standalone="yes"?>
<Relationships xmlns="http://schemas.openxmlformats.org/package/2006/relationships"><Relationship Id="rId3" Type="http://schemas.openxmlformats.org/officeDocument/2006/relationships/image" Target="../media/image26.png"/><Relationship Id="rId2" Type="http://schemas.openxmlformats.org/officeDocument/2006/relationships/image" Target="cid:image001.png@01D5F077.E32F4CC0" TargetMode="External"/><Relationship Id="rId1" Type="http://schemas.openxmlformats.org/officeDocument/2006/relationships/image" Target="../media/image25.png"/><Relationship Id="rId5" Type="http://schemas.openxmlformats.org/officeDocument/2006/relationships/image" Target="../media/image27.png"/><Relationship Id="rId4" Type="http://schemas.openxmlformats.org/officeDocument/2006/relationships/image" Target="cid:image002.png@01D5F077.E32F4CC0"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2245179</xdr:colOff>
      <xdr:row>34</xdr:row>
      <xdr:rowOff>27996</xdr:rowOff>
    </xdr:from>
    <xdr:to>
      <xdr:col>3</xdr:col>
      <xdr:colOff>4730893</xdr:colOff>
      <xdr:row>40</xdr:row>
      <xdr:rowOff>633</xdr:rowOff>
    </xdr:to>
    <xdr:pic>
      <xdr:nvPicPr>
        <xdr:cNvPr id="38" name="圖片 37"/>
        <xdr:cNvPicPr>
          <a:picLocks noChangeAspect="1"/>
        </xdr:cNvPicPr>
      </xdr:nvPicPr>
      <xdr:blipFill>
        <a:blip xmlns:r="http://schemas.openxmlformats.org/officeDocument/2006/relationships" r:embed="rId1"/>
        <a:stretch>
          <a:fillRect/>
        </a:stretch>
      </xdr:blipFill>
      <xdr:spPr>
        <a:xfrm>
          <a:off x="10001250" y="7136367"/>
          <a:ext cx="2485714" cy="1180952"/>
        </a:xfrm>
        <a:prstGeom prst="rect">
          <a:avLst/>
        </a:prstGeom>
      </xdr:spPr>
    </xdr:pic>
    <xdr:clientData/>
  </xdr:twoCellAnchor>
  <xdr:twoCellAnchor editAs="oneCell">
    <xdr:from>
      <xdr:col>3</xdr:col>
      <xdr:colOff>0</xdr:colOff>
      <xdr:row>100</xdr:row>
      <xdr:rowOff>0</xdr:rowOff>
    </xdr:from>
    <xdr:to>
      <xdr:col>3</xdr:col>
      <xdr:colOff>2130002</xdr:colOff>
      <xdr:row>102</xdr:row>
      <xdr:rowOff>1391</xdr:rowOff>
    </xdr:to>
    <xdr:pic>
      <xdr:nvPicPr>
        <xdr:cNvPr id="24" name="圖片 23"/>
        <xdr:cNvPicPr>
          <a:picLocks noChangeAspect="1"/>
        </xdr:cNvPicPr>
      </xdr:nvPicPr>
      <xdr:blipFill>
        <a:blip xmlns:r="http://schemas.openxmlformats.org/officeDocument/2006/relationships" r:embed="rId2"/>
        <a:stretch>
          <a:fillRect/>
        </a:stretch>
      </xdr:blipFill>
      <xdr:spPr>
        <a:xfrm>
          <a:off x="9647464" y="6953250"/>
          <a:ext cx="2130002" cy="396000"/>
        </a:xfrm>
        <a:prstGeom prst="rect">
          <a:avLst/>
        </a:prstGeom>
      </xdr:spPr>
    </xdr:pic>
    <xdr:clientData/>
  </xdr:twoCellAnchor>
  <xdr:twoCellAnchor editAs="oneCell">
    <xdr:from>
      <xdr:col>3</xdr:col>
      <xdr:colOff>11208</xdr:colOff>
      <xdr:row>108</xdr:row>
      <xdr:rowOff>11206</xdr:rowOff>
    </xdr:from>
    <xdr:to>
      <xdr:col>3</xdr:col>
      <xdr:colOff>4686569</xdr:colOff>
      <xdr:row>111</xdr:row>
      <xdr:rowOff>123264</xdr:rowOff>
    </xdr:to>
    <xdr:pic>
      <xdr:nvPicPr>
        <xdr:cNvPr id="26" name="그림 1"/>
        <xdr:cNvPicPr>
          <a:picLocks noChangeAspect="1"/>
        </xdr:cNvPicPr>
      </xdr:nvPicPr>
      <xdr:blipFill>
        <a:blip xmlns:r="http://schemas.openxmlformats.org/officeDocument/2006/relationships" r:embed="rId3"/>
        <a:stretch>
          <a:fillRect/>
        </a:stretch>
      </xdr:blipFill>
      <xdr:spPr>
        <a:xfrm>
          <a:off x="7754473" y="22882412"/>
          <a:ext cx="4675361" cy="717176"/>
        </a:xfrm>
        <a:prstGeom prst="rect">
          <a:avLst/>
        </a:prstGeom>
      </xdr:spPr>
    </xdr:pic>
    <xdr:clientData/>
  </xdr:twoCellAnchor>
  <xdr:twoCellAnchor editAs="oneCell">
    <xdr:from>
      <xdr:col>3</xdr:col>
      <xdr:colOff>1580029</xdr:colOff>
      <xdr:row>117</xdr:row>
      <xdr:rowOff>1</xdr:rowOff>
    </xdr:from>
    <xdr:to>
      <xdr:col>3</xdr:col>
      <xdr:colOff>2747143</xdr:colOff>
      <xdr:row>118</xdr:row>
      <xdr:rowOff>230294</xdr:rowOff>
    </xdr:to>
    <xdr:pic>
      <xdr:nvPicPr>
        <xdr:cNvPr id="29" name="그림 2"/>
        <xdr:cNvPicPr>
          <a:picLocks noChangeAspect="1"/>
        </xdr:cNvPicPr>
      </xdr:nvPicPr>
      <xdr:blipFill>
        <a:blip xmlns:r="http://schemas.openxmlformats.org/officeDocument/2006/relationships" r:embed="rId4"/>
        <a:stretch>
          <a:fillRect/>
        </a:stretch>
      </xdr:blipFill>
      <xdr:spPr>
        <a:xfrm>
          <a:off x="9323294" y="24720177"/>
          <a:ext cx="1167114" cy="431999"/>
        </a:xfrm>
        <a:prstGeom prst="rect">
          <a:avLst/>
        </a:prstGeom>
      </xdr:spPr>
    </xdr:pic>
    <xdr:clientData/>
  </xdr:twoCellAnchor>
  <xdr:twoCellAnchor editAs="oneCell">
    <xdr:from>
      <xdr:col>2</xdr:col>
      <xdr:colOff>587195</xdr:colOff>
      <xdr:row>114</xdr:row>
      <xdr:rowOff>30789</xdr:rowOff>
    </xdr:from>
    <xdr:to>
      <xdr:col>3</xdr:col>
      <xdr:colOff>1546411</xdr:colOff>
      <xdr:row>119</xdr:row>
      <xdr:rowOff>10281</xdr:rowOff>
    </xdr:to>
    <xdr:pic>
      <xdr:nvPicPr>
        <xdr:cNvPr id="30" name="圖片 29"/>
        <xdr:cNvPicPr>
          <a:picLocks noChangeAspect="1"/>
        </xdr:cNvPicPr>
      </xdr:nvPicPr>
      <xdr:blipFill>
        <a:blip xmlns:r="http://schemas.openxmlformats.org/officeDocument/2006/relationships" r:embed="rId5"/>
        <a:stretch>
          <a:fillRect/>
        </a:stretch>
      </xdr:blipFill>
      <xdr:spPr>
        <a:xfrm>
          <a:off x="7725342" y="24112230"/>
          <a:ext cx="1564334" cy="1055257"/>
        </a:xfrm>
        <a:prstGeom prst="rect">
          <a:avLst/>
        </a:prstGeom>
      </xdr:spPr>
    </xdr:pic>
    <xdr:clientData/>
  </xdr:twoCellAnchor>
  <xdr:twoCellAnchor editAs="oneCell">
    <xdr:from>
      <xdr:col>3</xdr:col>
      <xdr:colOff>6</xdr:colOff>
      <xdr:row>122</xdr:row>
      <xdr:rowOff>123264</xdr:rowOff>
    </xdr:from>
    <xdr:to>
      <xdr:col>3</xdr:col>
      <xdr:colOff>1601822</xdr:colOff>
      <xdr:row>127</xdr:row>
      <xdr:rowOff>77131</xdr:rowOff>
    </xdr:to>
    <xdr:pic>
      <xdr:nvPicPr>
        <xdr:cNvPr id="3" name="圖片 2"/>
        <xdr:cNvPicPr>
          <a:picLocks noChangeAspect="1"/>
        </xdr:cNvPicPr>
      </xdr:nvPicPr>
      <xdr:blipFill>
        <a:blip xmlns:r="http://schemas.openxmlformats.org/officeDocument/2006/relationships" r:embed="rId6"/>
        <a:stretch>
          <a:fillRect/>
        </a:stretch>
      </xdr:blipFill>
      <xdr:spPr>
        <a:xfrm>
          <a:off x="7295035" y="23420293"/>
          <a:ext cx="1601816" cy="962397"/>
        </a:xfrm>
        <a:prstGeom prst="rect">
          <a:avLst/>
        </a:prstGeom>
      </xdr:spPr>
    </xdr:pic>
    <xdr:clientData/>
  </xdr:twoCellAnchor>
  <xdr:twoCellAnchor editAs="oneCell">
    <xdr:from>
      <xdr:col>3</xdr:col>
      <xdr:colOff>1681449</xdr:colOff>
      <xdr:row>146</xdr:row>
      <xdr:rowOff>94763</xdr:rowOff>
    </xdr:from>
    <xdr:to>
      <xdr:col>3</xdr:col>
      <xdr:colOff>4000501</xdr:colOff>
      <xdr:row>152</xdr:row>
      <xdr:rowOff>56933</xdr:rowOff>
    </xdr:to>
    <xdr:pic>
      <xdr:nvPicPr>
        <xdr:cNvPr id="13" name="圖片 12"/>
        <xdr:cNvPicPr>
          <a:picLocks noChangeAspect="1"/>
        </xdr:cNvPicPr>
      </xdr:nvPicPr>
      <xdr:blipFill>
        <a:blip xmlns:r="http://schemas.openxmlformats.org/officeDocument/2006/relationships" r:embed="rId7"/>
        <a:stretch>
          <a:fillRect/>
        </a:stretch>
      </xdr:blipFill>
      <xdr:spPr>
        <a:xfrm>
          <a:off x="9434799" y="30774788"/>
          <a:ext cx="2319052" cy="1228995"/>
        </a:xfrm>
        <a:prstGeom prst="rect">
          <a:avLst/>
        </a:prstGeom>
      </xdr:spPr>
    </xdr:pic>
    <xdr:clientData/>
  </xdr:twoCellAnchor>
  <xdr:twoCellAnchor editAs="oneCell">
    <xdr:from>
      <xdr:col>3</xdr:col>
      <xdr:colOff>4485</xdr:colOff>
      <xdr:row>147</xdr:row>
      <xdr:rowOff>0</xdr:rowOff>
    </xdr:from>
    <xdr:to>
      <xdr:col>3</xdr:col>
      <xdr:colOff>1675699</xdr:colOff>
      <xdr:row>151</xdr:row>
      <xdr:rowOff>165176</xdr:rowOff>
    </xdr:to>
    <xdr:pic>
      <xdr:nvPicPr>
        <xdr:cNvPr id="14" name="圖片 13"/>
        <xdr:cNvPicPr>
          <a:picLocks noChangeAspect="1"/>
        </xdr:cNvPicPr>
      </xdr:nvPicPr>
      <xdr:blipFill>
        <a:blip xmlns:r="http://schemas.openxmlformats.org/officeDocument/2006/relationships" r:embed="rId8"/>
        <a:stretch>
          <a:fillRect/>
        </a:stretch>
      </xdr:blipFill>
      <xdr:spPr>
        <a:xfrm>
          <a:off x="7299514" y="21414441"/>
          <a:ext cx="1671214" cy="972000"/>
        </a:xfrm>
        <a:prstGeom prst="rect">
          <a:avLst/>
        </a:prstGeom>
      </xdr:spPr>
    </xdr:pic>
    <xdr:clientData/>
  </xdr:twoCellAnchor>
  <xdr:twoCellAnchor editAs="oneCell">
    <xdr:from>
      <xdr:col>3</xdr:col>
      <xdr:colOff>42022</xdr:colOff>
      <xdr:row>75</xdr:row>
      <xdr:rowOff>1682</xdr:rowOff>
    </xdr:from>
    <xdr:to>
      <xdr:col>3</xdr:col>
      <xdr:colOff>2303908</xdr:colOff>
      <xdr:row>76</xdr:row>
      <xdr:rowOff>157574</xdr:rowOff>
    </xdr:to>
    <xdr:pic>
      <xdr:nvPicPr>
        <xdr:cNvPr id="22" name="圖片 21"/>
        <xdr:cNvPicPr>
          <a:picLocks noChangeAspect="1"/>
        </xdr:cNvPicPr>
      </xdr:nvPicPr>
      <xdr:blipFill>
        <a:blip xmlns:r="http://schemas.openxmlformats.org/officeDocument/2006/relationships" r:embed="rId9"/>
        <a:stretch>
          <a:fillRect/>
        </a:stretch>
      </xdr:blipFill>
      <xdr:spPr>
        <a:xfrm>
          <a:off x="7795372" y="15775082"/>
          <a:ext cx="2261886" cy="355917"/>
        </a:xfrm>
        <a:prstGeom prst="rect">
          <a:avLst/>
        </a:prstGeom>
      </xdr:spPr>
    </xdr:pic>
    <xdr:clientData/>
  </xdr:twoCellAnchor>
  <xdr:twoCellAnchor editAs="oneCell">
    <xdr:from>
      <xdr:col>3</xdr:col>
      <xdr:colOff>75080</xdr:colOff>
      <xdr:row>55</xdr:row>
      <xdr:rowOff>76760</xdr:rowOff>
    </xdr:from>
    <xdr:to>
      <xdr:col>3</xdr:col>
      <xdr:colOff>2008795</xdr:colOff>
      <xdr:row>56</xdr:row>
      <xdr:rowOff>163055</xdr:rowOff>
    </xdr:to>
    <xdr:pic>
      <xdr:nvPicPr>
        <xdr:cNvPr id="21" name="圖片 20"/>
        <xdr:cNvPicPr>
          <a:picLocks noChangeAspect="1"/>
        </xdr:cNvPicPr>
      </xdr:nvPicPr>
      <xdr:blipFill>
        <a:blip xmlns:r="http://schemas.openxmlformats.org/officeDocument/2006/relationships" r:embed="rId10"/>
        <a:stretch>
          <a:fillRect/>
        </a:stretch>
      </xdr:blipFill>
      <xdr:spPr>
        <a:xfrm>
          <a:off x="7828430" y="11782985"/>
          <a:ext cx="1933715" cy="286320"/>
        </a:xfrm>
        <a:prstGeom prst="rect">
          <a:avLst/>
        </a:prstGeom>
      </xdr:spPr>
    </xdr:pic>
    <xdr:clientData/>
  </xdr:twoCellAnchor>
  <xdr:twoCellAnchor editAs="oneCell">
    <xdr:from>
      <xdr:col>3</xdr:col>
      <xdr:colOff>0</xdr:colOff>
      <xdr:row>51</xdr:row>
      <xdr:rowOff>0</xdr:rowOff>
    </xdr:from>
    <xdr:to>
      <xdr:col>3</xdr:col>
      <xdr:colOff>1413817</xdr:colOff>
      <xdr:row>52</xdr:row>
      <xdr:rowOff>148687</xdr:rowOff>
    </xdr:to>
    <xdr:pic>
      <xdr:nvPicPr>
        <xdr:cNvPr id="28" name="圖片 27"/>
        <xdr:cNvPicPr>
          <a:picLocks noChangeAspect="1"/>
        </xdr:cNvPicPr>
      </xdr:nvPicPr>
      <xdr:blipFill>
        <a:blip xmlns:r="http://schemas.openxmlformats.org/officeDocument/2006/relationships" r:embed="rId11"/>
        <a:stretch>
          <a:fillRect/>
        </a:stretch>
      </xdr:blipFill>
      <xdr:spPr>
        <a:xfrm>
          <a:off x="7295029" y="10096500"/>
          <a:ext cx="1413817" cy="350393"/>
        </a:xfrm>
        <a:prstGeom prst="rect">
          <a:avLst/>
        </a:prstGeom>
      </xdr:spPr>
    </xdr:pic>
    <xdr:clientData/>
  </xdr:twoCellAnchor>
  <xdr:twoCellAnchor editAs="oneCell">
    <xdr:from>
      <xdr:col>3</xdr:col>
      <xdr:colOff>1533798</xdr:colOff>
      <xdr:row>51</xdr:row>
      <xdr:rowOff>0</xdr:rowOff>
    </xdr:from>
    <xdr:to>
      <xdr:col>3</xdr:col>
      <xdr:colOff>2710513</xdr:colOff>
      <xdr:row>52</xdr:row>
      <xdr:rowOff>223521</xdr:rowOff>
    </xdr:to>
    <xdr:pic>
      <xdr:nvPicPr>
        <xdr:cNvPr id="31" name="圖片 30"/>
        <xdr:cNvPicPr>
          <a:picLocks noChangeAspect="1"/>
        </xdr:cNvPicPr>
      </xdr:nvPicPr>
      <xdr:blipFill>
        <a:blip xmlns:r="http://schemas.openxmlformats.org/officeDocument/2006/relationships" r:embed="rId12"/>
        <a:stretch>
          <a:fillRect/>
        </a:stretch>
      </xdr:blipFill>
      <xdr:spPr>
        <a:xfrm>
          <a:off x="8828827" y="10096500"/>
          <a:ext cx="1176715" cy="426907"/>
        </a:xfrm>
        <a:prstGeom prst="rect">
          <a:avLst/>
        </a:prstGeom>
      </xdr:spPr>
    </xdr:pic>
    <xdr:clientData/>
  </xdr:twoCellAnchor>
  <xdr:twoCellAnchor editAs="oneCell">
    <xdr:from>
      <xdr:col>3</xdr:col>
      <xdr:colOff>0</xdr:colOff>
      <xdr:row>37</xdr:row>
      <xdr:rowOff>0</xdr:rowOff>
    </xdr:from>
    <xdr:to>
      <xdr:col>3</xdr:col>
      <xdr:colOff>1795499</xdr:colOff>
      <xdr:row>39</xdr:row>
      <xdr:rowOff>100589</xdr:rowOff>
    </xdr:to>
    <xdr:pic>
      <xdr:nvPicPr>
        <xdr:cNvPr id="10" name="圖片 9"/>
        <xdr:cNvPicPr>
          <a:picLocks noChangeAspect="1"/>
        </xdr:cNvPicPr>
      </xdr:nvPicPr>
      <xdr:blipFill>
        <a:blip xmlns:r="http://schemas.openxmlformats.org/officeDocument/2006/relationships" r:embed="rId13"/>
        <a:stretch>
          <a:fillRect/>
        </a:stretch>
      </xdr:blipFill>
      <xdr:spPr>
        <a:xfrm>
          <a:off x="7295029" y="7911353"/>
          <a:ext cx="1795499" cy="504000"/>
        </a:xfrm>
        <a:prstGeom prst="rect">
          <a:avLst/>
        </a:prstGeom>
      </xdr:spPr>
    </xdr:pic>
    <xdr:clientData/>
  </xdr:twoCellAnchor>
  <xdr:twoCellAnchor editAs="oneCell">
    <xdr:from>
      <xdr:col>3</xdr:col>
      <xdr:colOff>104775</xdr:colOff>
      <xdr:row>31</xdr:row>
      <xdr:rowOff>114300</xdr:rowOff>
    </xdr:from>
    <xdr:to>
      <xdr:col>3</xdr:col>
      <xdr:colOff>1493346</xdr:colOff>
      <xdr:row>32</xdr:row>
      <xdr:rowOff>169919</xdr:rowOff>
    </xdr:to>
    <xdr:pic>
      <xdr:nvPicPr>
        <xdr:cNvPr id="33" name="圖片 32"/>
        <xdr:cNvPicPr>
          <a:picLocks noChangeAspect="1"/>
        </xdr:cNvPicPr>
      </xdr:nvPicPr>
      <xdr:blipFill>
        <a:blip xmlns:r="http://schemas.openxmlformats.org/officeDocument/2006/relationships" r:embed="rId14"/>
        <a:stretch>
          <a:fillRect/>
        </a:stretch>
      </xdr:blipFill>
      <xdr:spPr>
        <a:xfrm>
          <a:off x="7410450" y="6448425"/>
          <a:ext cx="1388571" cy="322319"/>
        </a:xfrm>
        <a:prstGeom prst="rect">
          <a:avLst/>
        </a:prstGeom>
      </xdr:spPr>
    </xdr:pic>
    <xdr:clientData/>
  </xdr:twoCellAnchor>
  <xdr:twoCellAnchor editAs="oneCell">
    <xdr:from>
      <xdr:col>3</xdr:col>
      <xdr:colOff>0</xdr:colOff>
      <xdr:row>34</xdr:row>
      <xdr:rowOff>0</xdr:rowOff>
    </xdr:from>
    <xdr:to>
      <xdr:col>3</xdr:col>
      <xdr:colOff>1958026</xdr:colOff>
      <xdr:row>36</xdr:row>
      <xdr:rowOff>37391</xdr:rowOff>
    </xdr:to>
    <xdr:pic>
      <xdr:nvPicPr>
        <xdr:cNvPr id="34" name="圖片 33"/>
        <xdr:cNvPicPr>
          <a:picLocks noChangeAspect="1"/>
        </xdr:cNvPicPr>
      </xdr:nvPicPr>
      <xdr:blipFill>
        <a:blip xmlns:r="http://schemas.openxmlformats.org/officeDocument/2006/relationships" r:embed="rId15"/>
        <a:stretch>
          <a:fillRect/>
        </a:stretch>
      </xdr:blipFill>
      <xdr:spPr>
        <a:xfrm>
          <a:off x="7305675" y="7000875"/>
          <a:ext cx="1958026" cy="437441"/>
        </a:xfrm>
        <a:prstGeom prst="rect">
          <a:avLst/>
        </a:prstGeom>
      </xdr:spPr>
    </xdr:pic>
    <xdr:clientData/>
  </xdr:twoCellAnchor>
  <xdr:twoCellAnchor editAs="oneCell">
    <xdr:from>
      <xdr:col>3</xdr:col>
      <xdr:colOff>0</xdr:colOff>
      <xdr:row>155</xdr:row>
      <xdr:rowOff>0</xdr:rowOff>
    </xdr:from>
    <xdr:to>
      <xdr:col>3</xdr:col>
      <xdr:colOff>1669780</xdr:colOff>
      <xdr:row>156</xdr:row>
      <xdr:rowOff>158295</xdr:rowOff>
    </xdr:to>
    <xdr:pic>
      <xdr:nvPicPr>
        <xdr:cNvPr id="35" name="圖片 34"/>
        <xdr:cNvPicPr>
          <a:picLocks noChangeAspect="1"/>
        </xdr:cNvPicPr>
      </xdr:nvPicPr>
      <xdr:blipFill>
        <a:blip xmlns:r="http://schemas.openxmlformats.org/officeDocument/2006/relationships" r:embed="rId16"/>
        <a:stretch>
          <a:fillRect/>
        </a:stretch>
      </xdr:blipFill>
      <xdr:spPr>
        <a:xfrm>
          <a:off x="7295029" y="23476324"/>
          <a:ext cx="1669780" cy="360000"/>
        </a:xfrm>
        <a:prstGeom prst="rect">
          <a:avLst/>
        </a:prstGeom>
      </xdr:spPr>
    </xdr:pic>
    <xdr:clientData/>
  </xdr:twoCellAnchor>
  <xdr:twoCellAnchor editAs="oneCell">
    <xdr:from>
      <xdr:col>0</xdr:col>
      <xdr:colOff>68035</xdr:colOff>
      <xdr:row>137</xdr:row>
      <xdr:rowOff>27214</xdr:rowOff>
    </xdr:from>
    <xdr:to>
      <xdr:col>0</xdr:col>
      <xdr:colOff>1839159</xdr:colOff>
      <xdr:row>144</xdr:row>
      <xdr:rowOff>38464</xdr:rowOff>
    </xdr:to>
    <xdr:pic>
      <xdr:nvPicPr>
        <xdr:cNvPr id="18" name="圖片 17"/>
        <xdr:cNvPicPr>
          <a:picLocks noChangeAspect="1"/>
        </xdr:cNvPicPr>
      </xdr:nvPicPr>
      <xdr:blipFill>
        <a:blip xmlns:r="http://schemas.openxmlformats.org/officeDocument/2006/relationships" r:embed="rId17"/>
        <a:stretch>
          <a:fillRect/>
        </a:stretch>
      </xdr:blipFill>
      <xdr:spPr>
        <a:xfrm>
          <a:off x="68035" y="26098500"/>
          <a:ext cx="1771124" cy="1440000"/>
        </a:xfrm>
        <a:prstGeom prst="rect">
          <a:avLst/>
        </a:prstGeom>
      </xdr:spPr>
    </xdr:pic>
    <xdr:clientData/>
  </xdr:twoCellAnchor>
  <xdr:twoCellAnchor editAs="oneCell">
    <xdr:from>
      <xdr:col>0</xdr:col>
      <xdr:colOff>44825</xdr:colOff>
      <xdr:row>86</xdr:row>
      <xdr:rowOff>22412</xdr:rowOff>
    </xdr:from>
    <xdr:to>
      <xdr:col>0</xdr:col>
      <xdr:colOff>2588559</xdr:colOff>
      <xdr:row>95</xdr:row>
      <xdr:rowOff>197094</xdr:rowOff>
    </xdr:to>
    <xdr:pic>
      <xdr:nvPicPr>
        <xdr:cNvPr id="41" name="圖片 40"/>
        <xdr:cNvPicPr>
          <a:picLocks noChangeAspect="1"/>
        </xdr:cNvPicPr>
      </xdr:nvPicPr>
      <xdr:blipFill>
        <a:blip xmlns:r="http://schemas.openxmlformats.org/officeDocument/2006/relationships" r:embed="rId18"/>
        <a:stretch>
          <a:fillRect/>
        </a:stretch>
      </xdr:blipFill>
      <xdr:spPr>
        <a:xfrm>
          <a:off x="44825" y="18321618"/>
          <a:ext cx="2543734" cy="1990035"/>
        </a:xfrm>
        <a:prstGeom prst="rect">
          <a:avLst/>
        </a:prstGeom>
      </xdr:spPr>
    </xdr:pic>
    <xdr:clientData/>
  </xdr:twoCellAnchor>
  <xdr:twoCellAnchor editAs="oneCell">
    <xdr:from>
      <xdr:col>3</xdr:col>
      <xdr:colOff>33130</xdr:colOff>
      <xdr:row>159</xdr:row>
      <xdr:rowOff>8283</xdr:rowOff>
    </xdr:from>
    <xdr:to>
      <xdr:col>3</xdr:col>
      <xdr:colOff>2840934</xdr:colOff>
      <xdr:row>164</xdr:row>
      <xdr:rowOff>257549</xdr:rowOff>
    </xdr:to>
    <xdr:pic>
      <xdr:nvPicPr>
        <xdr:cNvPr id="6" name="圖片 5"/>
        <xdr:cNvPicPr>
          <a:picLocks noChangeAspect="1"/>
        </xdr:cNvPicPr>
      </xdr:nvPicPr>
      <xdr:blipFill>
        <a:blip xmlns:r="http://schemas.openxmlformats.org/officeDocument/2006/relationships" r:embed="rId19"/>
        <a:stretch>
          <a:fillRect/>
        </a:stretch>
      </xdr:blipFill>
      <xdr:spPr>
        <a:xfrm>
          <a:off x="7793934" y="33022761"/>
          <a:ext cx="2807804" cy="1309440"/>
        </a:xfrm>
        <a:prstGeom prst="rect">
          <a:avLst/>
        </a:prstGeom>
      </xdr:spPr>
    </xdr:pic>
    <xdr:clientData/>
  </xdr:twoCellAnchor>
  <xdr:twoCellAnchor>
    <xdr:from>
      <xdr:col>3</xdr:col>
      <xdr:colOff>41902</xdr:colOff>
      <xdr:row>77</xdr:row>
      <xdr:rowOff>99878</xdr:rowOff>
    </xdr:from>
    <xdr:to>
      <xdr:col>3</xdr:col>
      <xdr:colOff>3390760</xdr:colOff>
      <xdr:row>80</xdr:row>
      <xdr:rowOff>41899</xdr:rowOff>
    </xdr:to>
    <xdr:pic>
      <xdr:nvPicPr>
        <xdr:cNvPr id="25" name="圖片 24" descr="image002"/>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7795252" y="16273328"/>
          <a:ext cx="3348858" cy="542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2947147</xdr:colOff>
      <xdr:row>86</xdr:row>
      <xdr:rowOff>22412</xdr:rowOff>
    </xdr:from>
    <xdr:to>
      <xdr:col>0</xdr:col>
      <xdr:colOff>5479602</xdr:colOff>
      <xdr:row>95</xdr:row>
      <xdr:rowOff>168088</xdr:rowOff>
    </xdr:to>
    <xdr:pic>
      <xdr:nvPicPr>
        <xdr:cNvPr id="2" name="圖片 1"/>
        <xdr:cNvPicPr>
          <a:picLocks noChangeAspect="1"/>
        </xdr:cNvPicPr>
      </xdr:nvPicPr>
      <xdr:blipFill rotWithShape="1">
        <a:blip xmlns:r="http://schemas.openxmlformats.org/officeDocument/2006/relationships" r:embed="rId21"/>
        <a:srcRect b="4042"/>
        <a:stretch/>
      </xdr:blipFill>
      <xdr:spPr>
        <a:xfrm>
          <a:off x="2947147" y="18321618"/>
          <a:ext cx="2532455" cy="1961029"/>
        </a:xfrm>
        <a:prstGeom prst="rect">
          <a:avLst/>
        </a:prstGeom>
      </xdr:spPr>
    </xdr:pic>
    <xdr:clientData/>
  </xdr:twoCellAnchor>
  <xdr:twoCellAnchor>
    <xdr:from>
      <xdr:col>0</xdr:col>
      <xdr:colOff>2</xdr:colOff>
      <xdr:row>114</xdr:row>
      <xdr:rowOff>11206</xdr:rowOff>
    </xdr:from>
    <xdr:to>
      <xdr:col>3</xdr:col>
      <xdr:colOff>9951687</xdr:colOff>
      <xdr:row>122</xdr:row>
      <xdr:rowOff>0</xdr:rowOff>
    </xdr:to>
    <xdr:sp macro="" textlink="">
      <xdr:nvSpPr>
        <xdr:cNvPr id="27" name="矩形 26"/>
        <xdr:cNvSpPr/>
      </xdr:nvSpPr>
      <xdr:spPr>
        <a:xfrm>
          <a:off x="2" y="24092647"/>
          <a:ext cx="17694950" cy="1669677"/>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solidFill>
              <a:srgbClr val="92D050"/>
            </a:solidFill>
          </a:endParaRPr>
        </a:p>
      </xdr:txBody>
    </xdr:sp>
    <xdr:clientData/>
  </xdr:twoCellAnchor>
  <xdr:twoCellAnchor>
    <xdr:from>
      <xdr:col>0</xdr:col>
      <xdr:colOff>11205</xdr:colOff>
      <xdr:row>95</xdr:row>
      <xdr:rowOff>33616</xdr:rowOff>
    </xdr:from>
    <xdr:to>
      <xdr:col>0</xdr:col>
      <xdr:colOff>1053353</xdr:colOff>
      <xdr:row>95</xdr:row>
      <xdr:rowOff>201705</xdr:rowOff>
    </xdr:to>
    <xdr:sp macro="" textlink="">
      <xdr:nvSpPr>
        <xdr:cNvPr id="4" name="文字方塊 3"/>
        <xdr:cNvSpPr txBox="1"/>
      </xdr:nvSpPr>
      <xdr:spPr>
        <a:xfrm>
          <a:off x="11205" y="20148175"/>
          <a:ext cx="1042148" cy="1680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zh-TW" sz="1100"/>
            <a:t> </a:t>
          </a:r>
          <a:r>
            <a:rPr lang="en-US" altLang="zh-TW" sz="1100">
              <a:solidFill>
                <a:srgbClr val="00B050"/>
              </a:solidFill>
            </a:rPr>
            <a:t>RTQ2963/65</a:t>
          </a:r>
          <a:endParaRPr lang="zh-TW" altLang="en-US" sz="1100">
            <a:solidFill>
              <a:srgbClr val="00B050"/>
            </a:solidFill>
          </a:endParaRPr>
        </a:p>
      </xdr:txBody>
    </xdr:sp>
    <xdr:clientData/>
  </xdr:twoCellAnchor>
  <xdr:twoCellAnchor>
    <xdr:from>
      <xdr:col>0</xdr:col>
      <xdr:colOff>2953870</xdr:colOff>
      <xdr:row>94</xdr:row>
      <xdr:rowOff>197222</xdr:rowOff>
    </xdr:from>
    <xdr:to>
      <xdr:col>0</xdr:col>
      <xdr:colOff>3996018</xdr:colOff>
      <xdr:row>95</xdr:row>
      <xdr:rowOff>163605</xdr:rowOff>
    </xdr:to>
    <xdr:sp macro="" textlink="">
      <xdr:nvSpPr>
        <xdr:cNvPr id="32" name="文字方塊 31"/>
        <xdr:cNvSpPr txBox="1"/>
      </xdr:nvSpPr>
      <xdr:spPr>
        <a:xfrm>
          <a:off x="2953870" y="20110075"/>
          <a:ext cx="1042148" cy="1680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zh-TW" sz="1100">
              <a:solidFill>
                <a:srgbClr val="00B050"/>
              </a:solidFill>
            </a:rPr>
            <a:t> RTQ2960/1/2</a:t>
          </a:r>
          <a:endParaRPr lang="zh-TW" altLang="en-US" sz="1100">
            <a:solidFill>
              <a:srgbClr val="00B050"/>
            </a:solidFill>
          </a:endParaRPr>
        </a:p>
      </xdr:txBody>
    </xdr:sp>
    <xdr:clientData/>
  </xdr:twoCellAnchor>
  <xdr:twoCellAnchor editAs="oneCell">
    <xdr:from>
      <xdr:col>0</xdr:col>
      <xdr:colOff>0</xdr:colOff>
      <xdr:row>4</xdr:row>
      <xdr:rowOff>115870</xdr:rowOff>
    </xdr:from>
    <xdr:to>
      <xdr:col>3</xdr:col>
      <xdr:colOff>7327</xdr:colOff>
      <xdr:row>13</xdr:row>
      <xdr:rowOff>189652</xdr:rowOff>
    </xdr:to>
    <xdr:pic>
      <xdr:nvPicPr>
        <xdr:cNvPr id="7" name="圖片 6"/>
        <xdr:cNvPicPr>
          <a:picLocks noChangeAspect="1"/>
        </xdr:cNvPicPr>
      </xdr:nvPicPr>
      <xdr:blipFill>
        <a:blip xmlns:r="http://schemas.openxmlformats.org/officeDocument/2006/relationships" r:embed="rId22"/>
        <a:stretch>
          <a:fillRect/>
        </a:stretch>
      </xdr:blipFill>
      <xdr:spPr>
        <a:xfrm>
          <a:off x="0" y="982645"/>
          <a:ext cx="7760677" cy="18740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112715</xdr:rowOff>
    </xdr:from>
    <xdr:to>
      <xdr:col>3</xdr:col>
      <xdr:colOff>8555</xdr:colOff>
      <xdr:row>13</xdr:row>
      <xdr:rowOff>188680</xdr:rowOff>
    </xdr:to>
    <xdr:pic>
      <xdr:nvPicPr>
        <xdr:cNvPr id="28" name="圖片 27"/>
        <xdr:cNvPicPr>
          <a:picLocks noChangeAspect="1"/>
        </xdr:cNvPicPr>
      </xdr:nvPicPr>
      <xdr:blipFill>
        <a:blip xmlns:r="http://schemas.openxmlformats.org/officeDocument/2006/relationships" r:embed="rId1"/>
        <a:stretch>
          <a:fillRect/>
        </a:stretch>
      </xdr:blipFill>
      <xdr:spPr>
        <a:xfrm>
          <a:off x="0" y="979490"/>
          <a:ext cx="7761905" cy="1876190"/>
        </a:xfrm>
        <a:prstGeom prst="rect">
          <a:avLst/>
        </a:prstGeom>
      </xdr:spPr>
    </xdr:pic>
    <xdr:clientData/>
  </xdr:twoCellAnchor>
  <xdr:twoCellAnchor editAs="oneCell">
    <xdr:from>
      <xdr:col>3</xdr:col>
      <xdr:colOff>2230730</xdr:colOff>
      <xdr:row>33</xdr:row>
      <xdr:rowOff>193430</xdr:rowOff>
    </xdr:from>
    <xdr:to>
      <xdr:col>3</xdr:col>
      <xdr:colOff>4716444</xdr:colOff>
      <xdr:row>39</xdr:row>
      <xdr:rowOff>187421</xdr:rowOff>
    </xdr:to>
    <xdr:pic>
      <xdr:nvPicPr>
        <xdr:cNvPr id="30" name="圖片 29"/>
        <xdr:cNvPicPr>
          <a:picLocks noChangeAspect="1"/>
        </xdr:cNvPicPr>
      </xdr:nvPicPr>
      <xdr:blipFill>
        <a:blip xmlns:r="http://schemas.openxmlformats.org/officeDocument/2006/relationships" r:embed="rId2"/>
        <a:stretch>
          <a:fillRect/>
        </a:stretch>
      </xdr:blipFill>
      <xdr:spPr>
        <a:xfrm>
          <a:off x="9982615" y="6985488"/>
          <a:ext cx="2485714" cy="1180952"/>
        </a:xfrm>
        <a:prstGeom prst="rect">
          <a:avLst/>
        </a:prstGeom>
      </xdr:spPr>
    </xdr:pic>
    <xdr:clientData/>
  </xdr:twoCellAnchor>
  <xdr:twoCellAnchor editAs="oneCell">
    <xdr:from>
      <xdr:col>3</xdr:col>
      <xdr:colOff>0</xdr:colOff>
      <xdr:row>100</xdr:row>
      <xdr:rowOff>0</xdr:rowOff>
    </xdr:from>
    <xdr:to>
      <xdr:col>3</xdr:col>
      <xdr:colOff>2130002</xdr:colOff>
      <xdr:row>102</xdr:row>
      <xdr:rowOff>1391</xdr:rowOff>
    </xdr:to>
    <xdr:pic>
      <xdr:nvPicPr>
        <xdr:cNvPr id="2" name="圖片 1"/>
        <xdr:cNvPicPr>
          <a:picLocks noChangeAspect="1"/>
        </xdr:cNvPicPr>
      </xdr:nvPicPr>
      <xdr:blipFill>
        <a:blip xmlns:r="http://schemas.openxmlformats.org/officeDocument/2006/relationships" r:embed="rId3"/>
        <a:stretch>
          <a:fillRect/>
        </a:stretch>
      </xdr:blipFill>
      <xdr:spPr>
        <a:xfrm>
          <a:off x="7753350" y="21012150"/>
          <a:ext cx="2130002" cy="401441"/>
        </a:xfrm>
        <a:prstGeom prst="rect">
          <a:avLst/>
        </a:prstGeom>
      </xdr:spPr>
    </xdr:pic>
    <xdr:clientData/>
  </xdr:twoCellAnchor>
  <xdr:twoCellAnchor editAs="oneCell">
    <xdr:from>
      <xdr:col>3</xdr:col>
      <xdr:colOff>11208</xdr:colOff>
      <xdr:row>108</xdr:row>
      <xdr:rowOff>11206</xdr:rowOff>
    </xdr:from>
    <xdr:to>
      <xdr:col>3</xdr:col>
      <xdr:colOff>4686569</xdr:colOff>
      <xdr:row>111</xdr:row>
      <xdr:rowOff>123264</xdr:rowOff>
    </xdr:to>
    <xdr:pic>
      <xdr:nvPicPr>
        <xdr:cNvPr id="3" name="그림 1"/>
        <xdr:cNvPicPr>
          <a:picLocks noChangeAspect="1"/>
        </xdr:cNvPicPr>
      </xdr:nvPicPr>
      <xdr:blipFill>
        <a:blip xmlns:r="http://schemas.openxmlformats.org/officeDocument/2006/relationships" r:embed="rId4"/>
        <a:stretch>
          <a:fillRect/>
        </a:stretch>
      </xdr:blipFill>
      <xdr:spPr>
        <a:xfrm>
          <a:off x="7764558" y="22690231"/>
          <a:ext cx="4675361" cy="712133"/>
        </a:xfrm>
        <a:prstGeom prst="rect">
          <a:avLst/>
        </a:prstGeom>
      </xdr:spPr>
    </xdr:pic>
    <xdr:clientData/>
  </xdr:twoCellAnchor>
  <xdr:twoCellAnchor editAs="oneCell">
    <xdr:from>
      <xdr:col>3</xdr:col>
      <xdr:colOff>1613159</xdr:colOff>
      <xdr:row>116</xdr:row>
      <xdr:rowOff>140806</xdr:rowOff>
    </xdr:from>
    <xdr:to>
      <xdr:col>3</xdr:col>
      <xdr:colOff>2780273</xdr:colOff>
      <xdr:row>118</xdr:row>
      <xdr:rowOff>212487</xdr:rowOff>
    </xdr:to>
    <xdr:pic>
      <xdr:nvPicPr>
        <xdr:cNvPr id="4" name="그림 2"/>
        <xdr:cNvPicPr>
          <a:picLocks noChangeAspect="1"/>
        </xdr:cNvPicPr>
      </xdr:nvPicPr>
      <xdr:blipFill>
        <a:blip xmlns:r="http://schemas.openxmlformats.org/officeDocument/2006/relationships" r:embed="rId5"/>
        <a:stretch>
          <a:fillRect/>
        </a:stretch>
      </xdr:blipFill>
      <xdr:spPr>
        <a:xfrm>
          <a:off x="9373963" y="24268045"/>
          <a:ext cx="1167114" cy="469246"/>
        </a:xfrm>
        <a:prstGeom prst="rect">
          <a:avLst/>
        </a:prstGeom>
      </xdr:spPr>
    </xdr:pic>
    <xdr:clientData/>
  </xdr:twoCellAnchor>
  <xdr:twoCellAnchor editAs="oneCell">
    <xdr:from>
      <xdr:col>2</xdr:col>
      <xdr:colOff>587195</xdr:colOff>
      <xdr:row>114</xdr:row>
      <xdr:rowOff>30790</xdr:rowOff>
    </xdr:from>
    <xdr:to>
      <xdr:col>3</xdr:col>
      <xdr:colOff>1409700</xdr:colOff>
      <xdr:row>118</xdr:row>
      <xdr:rowOff>225960</xdr:rowOff>
    </xdr:to>
    <xdr:pic>
      <xdr:nvPicPr>
        <xdr:cNvPr id="5" name="圖片 4"/>
        <xdr:cNvPicPr>
          <a:picLocks noChangeAspect="1"/>
        </xdr:cNvPicPr>
      </xdr:nvPicPr>
      <xdr:blipFill>
        <a:blip xmlns:r="http://schemas.openxmlformats.org/officeDocument/2006/relationships" r:embed="rId6"/>
        <a:stretch>
          <a:fillRect/>
        </a:stretch>
      </xdr:blipFill>
      <xdr:spPr>
        <a:xfrm>
          <a:off x="7730945" y="23852815"/>
          <a:ext cx="1432105" cy="1033370"/>
        </a:xfrm>
        <a:prstGeom prst="rect">
          <a:avLst/>
        </a:prstGeom>
      </xdr:spPr>
    </xdr:pic>
    <xdr:clientData/>
  </xdr:twoCellAnchor>
  <xdr:twoCellAnchor editAs="oneCell">
    <xdr:from>
      <xdr:col>3</xdr:col>
      <xdr:colOff>6</xdr:colOff>
      <xdr:row>122</xdr:row>
      <xdr:rowOff>123264</xdr:rowOff>
    </xdr:from>
    <xdr:to>
      <xdr:col>3</xdr:col>
      <xdr:colOff>1601822</xdr:colOff>
      <xdr:row>127</xdr:row>
      <xdr:rowOff>77131</xdr:rowOff>
    </xdr:to>
    <xdr:pic>
      <xdr:nvPicPr>
        <xdr:cNvPr id="6" name="圖片 5"/>
        <xdr:cNvPicPr>
          <a:picLocks noChangeAspect="1"/>
        </xdr:cNvPicPr>
      </xdr:nvPicPr>
      <xdr:blipFill>
        <a:blip xmlns:r="http://schemas.openxmlformats.org/officeDocument/2006/relationships" r:embed="rId7"/>
        <a:stretch>
          <a:fillRect/>
        </a:stretch>
      </xdr:blipFill>
      <xdr:spPr>
        <a:xfrm>
          <a:off x="7753356" y="25678839"/>
          <a:ext cx="1601816" cy="953992"/>
        </a:xfrm>
        <a:prstGeom prst="rect">
          <a:avLst/>
        </a:prstGeom>
      </xdr:spPr>
    </xdr:pic>
    <xdr:clientData/>
  </xdr:twoCellAnchor>
  <xdr:twoCellAnchor editAs="oneCell">
    <xdr:from>
      <xdr:col>3</xdr:col>
      <xdr:colOff>1681449</xdr:colOff>
      <xdr:row>146</xdr:row>
      <xdr:rowOff>94763</xdr:rowOff>
    </xdr:from>
    <xdr:to>
      <xdr:col>3</xdr:col>
      <xdr:colOff>4000501</xdr:colOff>
      <xdr:row>152</xdr:row>
      <xdr:rowOff>123608</xdr:rowOff>
    </xdr:to>
    <xdr:pic>
      <xdr:nvPicPr>
        <xdr:cNvPr id="7" name="圖片 6"/>
        <xdr:cNvPicPr>
          <a:picLocks noChangeAspect="1"/>
        </xdr:cNvPicPr>
      </xdr:nvPicPr>
      <xdr:blipFill>
        <a:blip xmlns:r="http://schemas.openxmlformats.org/officeDocument/2006/relationships" r:embed="rId8"/>
        <a:stretch>
          <a:fillRect/>
        </a:stretch>
      </xdr:blipFill>
      <xdr:spPr>
        <a:xfrm>
          <a:off x="9434799" y="30612863"/>
          <a:ext cx="2319052" cy="1228995"/>
        </a:xfrm>
        <a:prstGeom prst="rect">
          <a:avLst/>
        </a:prstGeom>
      </xdr:spPr>
    </xdr:pic>
    <xdr:clientData/>
  </xdr:twoCellAnchor>
  <xdr:twoCellAnchor editAs="oneCell">
    <xdr:from>
      <xdr:col>3</xdr:col>
      <xdr:colOff>4485</xdr:colOff>
      <xdr:row>147</xdr:row>
      <xdr:rowOff>0</xdr:rowOff>
    </xdr:from>
    <xdr:to>
      <xdr:col>3</xdr:col>
      <xdr:colOff>1675699</xdr:colOff>
      <xdr:row>151</xdr:row>
      <xdr:rowOff>165176</xdr:rowOff>
    </xdr:to>
    <xdr:pic>
      <xdr:nvPicPr>
        <xdr:cNvPr id="8" name="圖片 7"/>
        <xdr:cNvPicPr>
          <a:picLocks noChangeAspect="1"/>
        </xdr:cNvPicPr>
      </xdr:nvPicPr>
      <xdr:blipFill>
        <a:blip xmlns:r="http://schemas.openxmlformats.org/officeDocument/2006/relationships" r:embed="rId9"/>
        <a:stretch>
          <a:fillRect/>
        </a:stretch>
      </xdr:blipFill>
      <xdr:spPr>
        <a:xfrm>
          <a:off x="7757835" y="30784800"/>
          <a:ext cx="1671214" cy="965276"/>
        </a:xfrm>
        <a:prstGeom prst="rect">
          <a:avLst/>
        </a:prstGeom>
      </xdr:spPr>
    </xdr:pic>
    <xdr:clientData/>
  </xdr:twoCellAnchor>
  <xdr:twoCellAnchor editAs="oneCell">
    <xdr:from>
      <xdr:col>3</xdr:col>
      <xdr:colOff>42022</xdr:colOff>
      <xdr:row>75</xdr:row>
      <xdr:rowOff>1682</xdr:rowOff>
    </xdr:from>
    <xdr:to>
      <xdr:col>3</xdr:col>
      <xdr:colOff>2303908</xdr:colOff>
      <xdr:row>76</xdr:row>
      <xdr:rowOff>157574</xdr:rowOff>
    </xdr:to>
    <xdr:pic>
      <xdr:nvPicPr>
        <xdr:cNvPr id="9" name="圖片 8"/>
        <xdr:cNvPicPr>
          <a:picLocks noChangeAspect="1"/>
        </xdr:cNvPicPr>
      </xdr:nvPicPr>
      <xdr:blipFill>
        <a:blip xmlns:r="http://schemas.openxmlformats.org/officeDocument/2006/relationships" r:embed="rId10"/>
        <a:stretch>
          <a:fillRect/>
        </a:stretch>
      </xdr:blipFill>
      <xdr:spPr>
        <a:xfrm>
          <a:off x="7795372" y="15803657"/>
          <a:ext cx="2261886" cy="355917"/>
        </a:xfrm>
        <a:prstGeom prst="rect">
          <a:avLst/>
        </a:prstGeom>
      </xdr:spPr>
    </xdr:pic>
    <xdr:clientData/>
  </xdr:twoCellAnchor>
  <xdr:twoCellAnchor editAs="oneCell">
    <xdr:from>
      <xdr:col>3</xdr:col>
      <xdr:colOff>75080</xdr:colOff>
      <xdr:row>55</xdr:row>
      <xdr:rowOff>76760</xdr:rowOff>
    </xdr:from>
    <xdr:to>
      <xdr:col>3</xdr:col>
      <xdr:colOff>2008795</xdr:colOff>
      <xdr:row>56</xdr:row>
      <xdr:rowOff>163055</xdr:rowOff>
    </xdr:to>
    <xdr:pic>
      <xdr:nvPicPr>
        <xdr:cNvPr id="10" name="圖片 9"/>
        <xdr:cNvPicPr>
          <a:picLocks noChangeAspect="1"/>
        </xdr:cNvPicPr>
      </xdr:nvPicPr>
      <xdr:blipFill>
        <a:blip xmlns:r="http://schemas.openxmlformats.org/officeDocument/2006/relationships" r:embed="rId11"/>
        <a:stretch>
          <a:fillRect/>
        </a:stretch>
      </xdr:blipFill>
      <xdr:spPr>
        <a:xfrm>
          <a:off x="7828430" y="11811560"/>
          <a:ext cx="1933715" cy="286320"/>
        </a:xfrm>
        <a:prstGeom prst="rect">
          <a:avLst/>
        </a:prstGeom>
      </xdr:spPr>
    </xdr:pic>
    <xdr:clientData/>
  </xdr:twoCellAnchor>
  <xdr:twoCellAnchor editAs="oneCell">
    <xdr:from>
      <xdr:col>3</xdr:col>
      <xdr:colOff>0</xdr:colOff>
      <xdr:row>51</xdr:row>
      <xdr:rowOff>0</xdr:rowOff>
    </xdr:from>
    <xdr:to>
      <xdr:col>3</xdr:col>
      <xdr:colOff>1413817</xdr:colOff>
      <xdr:row>52</xdr:row>
      <xdr:rowOff>148687</xdr:rowOff>
    </xdr:to>
    <xdr:pic>
      <xdr:nvPicPr>
        <xdr:cNvPr id="11" name="圖片 10"/>
        <xdr:cNvPicPr>
          <a:picLocks noChangeAspect="1"/>
        </xdr:cNvPicPr>
      </xdr:nvPicPr>
      <xdr:blipFill>
        <a:blip xmlns:r="http://schemas.openxmlformats.org/officeDocument/2006/relationships" r:embed="rId12"/>
        <a:stretch>
          <a:fillRect/>
        </a:stretch>
      </xdr:blipFill>
      <xdr:spPr>
        <a:xfrm>
          <a:off x="7753350" y="10868025"/>
          <a:ext cx="1413817" cy="348712"/>
        </a:xfrm>
        <a:prstGeom prst="rect">
          <a:avLst/>
        </a:prstGeom>
      </xdr:spPr>
    </xdr:pic>
    <xdr:clientData/>
  </xdr:twoCellAnchor>
  <xdr:twoCellAnchor editAs="oneCell">
    <xdr:from>
      <xdr:col>3</xdr:col>
      <xdr:colOff>1533798</xdr:colOff>
      <xdr:row>51</xdr:row>
      <xdr:rowOff>0</xdr:rowOff>
    </xdr:from>
    <xdr:to>
      <xdr:col>3</xdr:col>
      <xdr:colOff>2710513</xdr:colOff>
      <xdr:row>53</xdr:row>
      <xdr:rowOff>23496</xdr:rowOff>
    </xdr:to>
    <xdr:pic>
      <xdr:nvPicPr>
        <xdr:cNvPr id="12" name="圖片 11"/>
        <xdr:cNvPicPr>
          <a:picLocks noChangeAspect="1"/>
        </xdr:cNvPicPr>
      </xdr:nvPicPr>
      <xdr:blipFill>
        <a:blip xmlns:r="http://schemas.openxmlformats.org/officeDocument/2006/relationships" r:embed="rId13"/>
        <a:stretch>
          <a:fillRect/>
        </a:stretch>
      </xdr:blipFill>
      <xdr:spPr>
        <a:xfrm>
          <a:off x="9287148" y="10868025"/>
          <a:ext cx="1176715" cy="423546"/>
        </a:xfrm>
        <a:prstGeom prst="rect">
          <a:avLst/>
        </a:prstGeom>
      </xdr:spPr>
    </xdr:pic>
    <xdr:clientData/>
  </xdr:twoCellAnchor>
  <xdr:twoCellAnchor editAs="oneCell">
    <xdr:from>
      <xdr:col>3</xdr:col>
      <xdr:colOff>6569</xdr:colOff>
      <xdr:row>37</xdr:row>
      <xdr:rowOff>0</xdr:rowOff>
    </xdr:from>
    <xdr:to>
      <xdr:col>3</xdr:col>
      <xdr:colOff>1802068</xdr:colOff>
      <xdr:row>39</xdr:row>
      <xdr:rowOff>100589</xdr:rowOff>
    </xdr:to>
    <xdr:pic>
      <xdr:nvPicPr>
        <xdr:cNvPr id="13" name="圖片 12"/>
        <xdr:cNvPicPr>
          <a:picLocks noChangeAspect="1"/>
        </xdr:cNvPicPr>
      </xdr:nvPicPr>
      <xdr:blipFill>
        <a:blip xmlns:r="http://schemas.openxmlformats.org/officeDocument/2006/relationships" r:embed="rId14"/>
        <a:stretch>
          <a:fillRect/>
        </a:stretch>
      </xdr:blipFill>
      <xdr:spPr>
        <a:xfrm>
          <a:off x="7764517" y="7580586"/>
          <a:ext cx="1795499" cy="494727"/>
        </a:xfrm>
        <a:prstGeom prst="rect">
          <a:avLst/>
        </a:prstGeom>
      </xdr:spPr>
    </xdr:pic>
    <xdr:clientData/>
  </xdr:twoCellAnchor>
  <xdr:twoCellAnchor editAs="oneCell">
    <xdr:from>
      <xdr:col>3</xdr:col>
      <xdr:colOff>12809</xdr:colOff>
      <xdr:row>31</xdr:row>
      <xdr:rowOff>15766</xdr:rowOff>
    </xdr:from>
    <xdr:to>
      <xdr:col>3</xdr:col>
      <xdr:colOff>1401380</xdr:colOff>
      <xdr:row>32</xdr:row>
      <xdr:rowOff>135104</xdr:rowOff>
    </xdr:to>
    <xdr:pic>
      <xdr:nvPicPr>
        <xdr:cNvPr id="14" name="圖片 13"/>
        <xdr:cNvPicPr>
          <a:picLocks noChangeAspect="1"/>
        </xdr:cNvPicPr>
      </xdr:nvPicPr>
      <xdr:blipFill>
        <a:blip xmlns:r="http://schemas.openxmlformats.org/officeDocument/2006/relationships" r:embed="rId15"/>
        <a:stretch>
          <a:fillRect/>
        </a:stretch>
      </xdr:blipFill>
      <xdr:spPr>
        <a:xfrm>
          <a:off x="7770757" y="6341680"/>
          <a:ext cx="1388571" cy="388665"/>
        </a:xfrm>
        <a:prstGeom prst="rect">
          <a:avLst/>
        </a:prstGeom>
      </xdr:spPr>
    </xdr:pic>
    <xdr:clientData/>
  </xdr:twoCellAnchor>
  <xdr:twoCellAnchor editAs="oneCell">
    <xdr:from>
      <xdr:col>3</xdr:col>
      <xdr:colOff>13138</xdr:colOff>
      <xdr:row>34</xdr:row>
      <xdr:rowOff>19707</xdr:rowOff>
    </xdr:from>
    <xdr:to>
      <xdr:col>3</xdr:col>
      <xdr:colOff>1971164</xdr:colOff>
      <xdr:row>36</xdr:row>
      <xdr:rowOff>57098</xdr:rowOff>
    </xdr:to>
    <xdr:pic>
      <xdr:nvPicPr>
        <xdr:cNvPr id="15" name="圖片 14"/>
        <xdr:cNvPicPr>
          <a:picLocks noChangeAspect="1"/>
        </xdr:cNvPicPr>
      </xdr:nvPicPr>
      <xdr:blipFill>
        <a:blip xmlns:r="http://schemas.openxmlformats.org/officeDocument/2006/relationships" r:embed="rId16"/>
        <a:stretch>
          <a:fillRect/>
        </a:stretch>
      </xdr:blipFill>
      <xdr:spPr>
        <a:xfrm>
          <a:off x="7771086" y="7009086"/>
          <a:ext cx="1958026" cy="431529"/>
        </a:xfrm>
        <a:prstGeom prst="rect">
          <a:avLst/>
        </a:prstGeom>
      </xdr:spPr>
    </xdr:pic>
    <xdr:clientData/>
  </xdr:twoCellAnchor>
  <xdr:twoCellAnchor editAs="oneCell">
    <xdr:from>
      <xdr:col>3</xdr:col>
      <xdr:colOff>0</xdr:colOff>
      <xdr:row>155</xdr:row>
      <xdr:rowOff>0</xdr:rowOff>
    </xdr:from>
    <xdr:to>
      <xdr:col>3</xdr:col>
      <xdr:colOff>1669780</xdr:colOff>
      <xdr:row>156</xdr:row>
      <xdr:rowOff>158295</xdr:rowOff>
    </xdr:to>
    <xdr:pic>
      <xdr:nvPicPr>
        <xdr:cNvPr id="16" name="圖片 15"/>
        <xdr:cNvPicPr>
          <a:picLocks noChangeAspect="1"/>
        </xdr:cNvPicPr>
      </xdr:nvPicPr>
      <xdr:blipFill>
        <a:blip xmlns:r="http://schemas.openxmlformats.org/officeDocument/2006/relationships" r:embed="rId17"/>
        <a:stretch>
          <a:fillRect/>
        </a:stretch>
      </xdr:blipFill>
      <xdr:spPr>
        <a:xfrm>
          <a:off x="7753350" y="32451675"/>
          <a:ext cx="1669780" cy="358320"/>
        </a:xfrm>
        <a:prstGeom prst="rect">
          <a:avLst/>
        </a:prstGeom>
      </xdr:spPr>
    </xdr:pic>
    <xdr:clientData/>
  </xdr:twoCellAnchor>
  <xdr:twoCellAnchor editAs="oneCell">
    <xdr:from>
      <xdr:col>0</xdr:col>
      <xdr:colOff>68035</xdr:colOff>
      <xdr:row>137</xdr:row>
      <xdr:rowOff>27214</xdr:rowOff>
    </xdr:from>
    <xdr:to>
      <xdr:col>0</xdr:col>
      <xdr:colOff>1839159</xdr:colOff>
      <xdr:row>144</xdr:row>
      <xdr:rowOff>38464</xdr:rowOff>
    </xdr:to>
    <xdr:pic>
      <xdr:nvPicPr>
        <xdr:cNvPr id="18" name="圖片 17"/>
        <xdr:cNvPicPr>
          <a:picLocks noChangeAspect="1"/>
        </xdr:cNvPicPr>
      </xdr:nvPicPr>
      <xdr:blipFill>
        <a:blip xmlns:r="http://schemas.openxmlformats.org/officeDocument/2006/relationships" r:embed="rId18"/>
        <a:stretch>
          <a:fillRect/>
        </a:stretch>
      </xdr:blipFill>
      <xdr:spPr>
        <a:xfrm>
          <a:off x="68035" y="28745089"/>
          <a:ext cx="1771124" cy="1411425"/>
        </a:xfrm>
        <a:prstGeom prst="rect">
          <a:avLst/>
        </a:prstGeom>
      </xdr:spPr>
    </xdr:pic>
    <xdr:clientData/>
  </xdr:twoCellAnchor>
  <xdr:twoCellAnchor editAs="oneCell">
    <xdr:from>
      <xdr:col>0</xdr:col>
      <xdr:colOff>44825</xdr:colOff>
      <xdr:row>86</xdr:row>
      <xdr:rowOff>22412</xdr:rowOff>
    </xdr:from>
    <xdr:to>
      <xdr:col>0</xdr:col>
      <xdr:colOff>2588559</xdr:colOff>
      <xdr:row>96</xdr:row>
      <xdr:rowOff>25</xdr:rowOff>
    </xdr:to>
    <xdr:pic>
      <xdr:nvPicPr>
        <xdr:cNvPr id="19" name="圖片 18"/>
        <xdr:cNvPicPr>
          <a:picLocks noChangeAspect="1"/>
        </xdr:cNvPicPr>
      </xdr:nvPicPr>
      <xdr:blipFill>
        <a:blip xmlns:r="http://schemas.openxmlformats.org/officeDocument/2006/relationships" r:embed="rId19"/>
        <a:stretch>
          <a:fillRect/>
        </a:stretch>
      </xdr:blipFill>
      <xdr:spPr>
        <a:xfrm>
          <a:off x="44825" y="18167537"/>
          <a:ext cx="2543734" cy="1974907"/>
        </a:xfrm>
        <a:prstGeom prst="rect">
          <a:avLst/>
        </a:prstGeom>
      </xdr:spPr>
    </xdr:pic>
    <xdr:clientData/>
  </xdr:twoCellAnchor>
  <xdr:twoCellAnchor editAs="oneCell">
    <xdr:from>
      <xdr:col>3</xdr:col>
      <xdr:colOff>33130</xdr:colOff>
      <xdr:row>159</xdr:row>
      <xdr:rowOff>8283</xdr:rowOff>
    </xdr:from>
    <xdr:to>
      <xdr:col>3</xdr:col>
      <xdr:colOff>2840934</xdr:colOff>
      <xdr:row>165</xdr:row>
      <xdr:rowOff>124199</xdr:rowOff>
    </xdr:to>
    <xdr:pic>
      <xdr:nvPicPr>
        <xdr:cNvPr id="21" name="圖片 20"/>
        <xdr:cNvPicPr>
          <a:picLocks noChangeAspect="1"/>
        </xdr:cNvPicPr>
      </xdr:nvPicPr>
      <xdr:blipFill>
        <a:blip xmlns:r="http://schemas.openxmlformats.org/officeDocument/2006/relationships" r:embed="rId20"/>
        <a:stretch>
          <a:fillRect/>
        </a:stretch>
      </xdr:blipFill>
      <xdr:spPr>
        <a:xfrm>
          <a:off x="7786480" y="33260058"/>
          <a:ext cx="2807804" cy="1316066"/>
        </a:xfrm>
        <a:prstGeom prst="rect">
          <a:avLst/>
        </a:prstGeom>
      </xdr:spPr>
    </xdr:pic>
    <xdr:clientData/>
  </xdr:twoCellAnchor>
  <xdr:twoCellAnchor>
    <xdr:from>
      <xdr:col>3</xdr:col>
      <xdr:colOff>41902</xdr:colOff>
      <xdr:row>77</xdr:row>
      <xdr:rowOff>99878</xdr:rowOff>
    </xdr:from>
    <xdr:to>
      <xdr:col>3</xdr:col>
      <xdr:colOff>3390760</xdr:colOff>
      <xdr:row>80</xdr:row>
      <xdr:rowOff>41899</xdr:rowOff>
    </xdr:to>
    <xdr:pic>
      <xdr:nvPicPr>
        <xdr:cNvPr id="22" name="圖片 21" descr="image002"/>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7795252" y="16301903"/>
          <a:ext cx="3348858" cy="542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2947147</xdr:colOff>
      <xdr:row>86</xdr:row>
      <xdr:rowOff>22412</xdr:rowOff>
    </xdr:from>
    <xdr:to>
      <xdr:col>0</xdr:col>
      <xdr:colOff>5479602</xdr:colOff>
      <xdr:row>95</xdr:row>
      <xdr:rowOff>168088</xdr:rowOff>
    </xdr:to>
    <xdr:pic>
      <xdr:nvPicPr>
        <xdr:cNvPr id="23" name="圖片 22"/>
        <xdr:cNvPicPr>
          <a:picLocks noChangeAspect="1"/>
        </xdr:cNvPicPr>
      </xdr:nvPicPr>
      <xdr:blipFill rotWithShape="1">
        <a:blip xmlns:r="http://schemas.openxmlformats.org/officeDocument/2006/relationships" r:embed="rId22"/>
        <a:srcRect b="4042"/>
        <a:stretch/>
      </xdr:blipFill>
      <xdr:spPr>
        <a:xfrm>
          <a:off x="2947147" y="18167537"/>
          <a:ext cx="2532455" cy="1945901"/>
        </a:xfrm>
        <a:prstGeom prst="rect">
          <a:avLst/>
        </a:prstGeom>
      </xdr:spPr>
    </xdr:pic>
    <xdr:clientData/>
  </xdr:twoCellAnchor>
  <xdr:twoCellAnchor>
    <xdr:from>
      <xdr:col>0</xdr:col>
      <xdr:colOff>2</xdr:colOff>
      <xdr:row>114</xdr:row>
      <xdr:rowOff>11206</xdr:rowOff>
    </xdr:from>
    <xdr:to>
      <xdr:col>3</xdr:col>
      <xdr:colOff>9951687</xdr:colOff>
      <xdr:row>122</xdr:row>
      <xdr:rowOff>0</xdr:rowOff>
    </xdr:to>
    <xdr:sp macro="" textlink="">
      <xdr:nvSpPr>
        <xdr:cNvPr id="24" name="矩形 23"/>
        <xdr:cNvSpPr/>
      </xdr:nvSpPr>
      <xdr:spPr>
        <a:xfrm>
          <a:off x="2" y="23890381"/>
          <a:ext cx="17705035" cy="1665194"/>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solidFill>
              <a:srgbClr val="92D050"/>
            </a:solidFill>
          </a:endParaRPr>
        </a:p>
      </xdr:txBody>
    </xdr:sp>
    <xdr:clientData/>
  </xdr:twoCellAnchor>
  <xdr:twoCellAnchor>
    <xdr:from>
      <xdr:col>0</xdr:col>
      <xdr:colOff>11205</xdr:colOff>
      <xdr:row>95</xdr:row>
      <xdr:rowOff>33616</xdr:rowOff>
    </xdr:from>
    <xdr:to>
      <xdr:col>0</xdr:col>
      <xdr:colOff>1053353</xdr:colOff>
      <xdr:row>95</xdr:row>
      <xdr:rowOff>201705</xdr:rowOff>
    </xdr:to>
    <xdr:sp macro="" textlink="">
      <xdr:nvSpPr>
        <xdr:cNvPr id="25" name="文字方塊 24"/>
        <xdr:cNvSpPr txBox="1"/>
      </xdr:nvSpPr>
      <xdr:spPr>
        <a:xfrm>
          <a:off x="11205" y="19978966"/>
          <a:ext cx="1042148" cy="1680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zh-TW" sz="1100"/>
            <a:t> </a:t>
          </a:r>
          <a:r>
            <a:rPr lang="en-US" altLang="zh-TW" sz="1100">
              <a:solidFill>
                <a:srgbClr val="00B050"/>
              </a:solidFill>
            </a:rPr>
            <a:t>RTQ2943/45</a:t>
          </a:r>
          <a:endParaRPr lang="zh-TW" altLang="en-US" sz="1100">
            <a:solidFill>
              <a:srgbClr val="00B050"/>
            </a:solidFill>
          </a:endParaRPr>
        </a:p>
      </xdr:txBody>
    </xdr:sp>
    <xdr:clientData/>
  </xdr:twoCellAnchor>
  <xdr:twoCellAnchor>
    <xdr:from>
      <xdr:col>0</xdr:col>
      <xdr:colOff>2953870</xdr:colOff>
      <xdr:row>94</xdr:row>
      <xdr:rowOff>197222</xdr:rowOff>
    </xdr:from>
    <xdr:to>
      <xdr:col>0</xdr:col>
      <xdr:colOff>3996018</xdr:colOff>
      <xdr:row>95</xdr:row>
      <xdr:rowOff>163605</xdr:rowOff>
    </xdr:to>
    <xdr:sp macro="" textlink="">
      <xdr:nvSpPr>
        <xdr:cNvPr id="26" name="文字方塊 25"/>
        <xdr:cNvSpPr txBox="1"/>
      </xdr:nvSpPr>
      <xdr:spPr>
        <a:xfrm>
          <a:off x="2953870" y="19942547"/>
          <a:ext cx="1042148" cy="1664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zh-TW" sz="1100">
              <a:solidFill>
                <a:srgbClr val="00B050"/>
              </a:solidFill>
            </a:rPr>
            <a:t> RTQ2940/1/2</a:t>
          </a:r>
          <a:endParaRPr lang="zh-TW" altLang="en-US" sz="1100">
            <a:solidFill>
              <a:srgbClr val="00B05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8283</xdr:colOff>
      <xdr:row>14</xdr:row>
      <xdr:rowOff>30206</xdr:rowOff>
    </xdr:from>
    <xdr:to>
      <xdr:col>5</xdr:col>
      <xdr:colOff>144290</xdr:colOff>
      <xdr:row>29</xdr:row>
      <xdr:rowOff>4618</xdr:rowOff>
    </xdr:to>
    <xdr:pic>
      <xdr:nvPicPr>
        <xdr:cNvPr id="3" name="圖片 2"/>
        <xdr:cNvPicPr>
          <a:picLocks noChangeAspect="1"/>
        </xdr:cNvPicPr>
      </xdr:nvPicPr>
      <xdr:blipFill>
        <a:blip xmlns:r="http://schemas.openxmlformats.org/officeDocument/2006/relationships" r:embed="rId1"/>
        <a:stretch>
          <a:fillRect/>
        </a:stretch>
      </xdr:blipFill>
      <xdr:spPr>
        <a:xfrm>
          <a:off x="2252870" y="3036793"/>
          <a:ext cx="5635659" cy="29561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295275</xdr:colOff>
      <xdr:row>3</xdr:row>
      <xdr:rowOff>200025</xdr:rowOff>
    </xdr:to>
    <xdr:pic>
      <xdr:nvPicPr>
        <xdr:cNvPr id="2" name="圖片 2" descr="cid:image001.png@01D5F077.E32F4CC0"/>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0" y="411480"/>
          <a:ext cx="904875" cy="4057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9</xdr:row>
      <xdr:rowOff>160020</xdr:rowOff>
    </xdr:from>
    <xdr:to>
      <xdr:col>10</xdr:col>
      <xdr:colOff>542925</xdr:colOff>
      <xdr:row>31</xdr:row>
      <xdr:rowOff>177165</xdr:rowOff>
    </xdr:to>
    <xdr:pic>
      <xdr:nvPicPr>
        <xdr:cNvPr id="3" name="圖片 1" descr="cid:image002.png@01D5F077.E32F4CC0"/>
        <xdr:cNvPicPr>
          <a:picLocks noChangeAspect="1"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0" y="1958340"/>
          <a:ext cx="6029325" cy="42081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60960</xdr:colOff>
      <xdr:row>13</xdr:row>
      <xdr:rowOff>129540</xdr:rowOff>
    </xdr:from>
    <xdr:to>
      <xdr:col>27</xdr:col>
      <xdr:colOff>333375</xdr:colOff>
      <xdr:row>22</xdr:row>
      <xdr:rowOff>5715</xdr:rowOff>
    </xdr:to>
    <xdr:pic>
      <xdr:nvPicPr>
        <xdr:cNvPr id="4" name="圖片 2" descr="image002"/>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741920" y="2689860"/>
          <a:ext cx="7404735" cy="1590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
    <tabColor rgb="FFFFC000"/>
  </sheetPr>
  <dimension ref="B5:N14"/>
  <sheetViews>
    <sheetView zoomScale="85" zoomScaleNormal="85" workbookViewId="0">
      <selection activeCell="F15" sqref="F15"/>
    </sheetView>
  </sheetViews>
  <sheetFormatPr defaultRowHeight="16.5"/>
  <cols>
    <col min="1" max="16384" width="9.140625" style="9"/>
  </cols>
  <sheetData>
    <row r="5" spans="2:14">
      <c r="B5" s="87" t="s">
        <v>56</v>
      </c>
      <c r="C5" s="87"/>
      <c r="D5" s="87"/>
      <c r="E5" s="87"/>
      <c r="F5" s="87"/>
      <c r="G5" s="87"/>
      <c r="H5" s="87"/>
      <c r="I5" s="87"/>
      <c r="J5" s="87"/>
      <c r="K5" s="87"/>
      <c r="L5" s="87"/>
      <c r="M5" s="87"/>
      <c r="N5" s="87"/>
    </row>
    <row r="6" spans="2:14">
      <c r="B6" s="87"/>
      <c r="C6" s="87"/>
      <c r="D6" s="87"/>
      <c r="E6" s="87"/>
      <c r="F6" s="87"/>
      <c r="G6" s="87"/>
      <c r="H6" s="87"/>
      <c r="I6" s="87"/>
      <c r="J6" s="87"/>
      <c r="K6" s="87"/>
      <c r="L6" s="87"/>
      <c r="M6" s="87"/>
      <c r="N6" s="87"/>
    </row>
    <row r="9" spans="2:14">
      <c r="E9" s="88" t="s">
        <v>57</v>
      </c>
      <c r="F9" s="88"/>
      <c r="G9" s="88"/>
      <c r="H9" s="88"/>
      <c r="I9" s="88"/>
      <c r="J9" s="88"/>
      <c r="K9" s="88"/>
    </row>
    <row r="10" spans="2:14">
      <c r="E10" s="10"/>
      <c r="F10" s="89" t="s">
        <v>58</v>
      </c>
      <c r="G10" s="89"/>
      <c r="H10" s="89"/>
      <c r="I10" s="89"/>
      <c r="J10" s="89"/>
      <c r="K10" s="89"/>
    </row>
    <row r="11" spans="2:14">
      <c r="E11" s="1"/>
      <c r="F11" s="89" t="s">
        <v>59</v>
      </c>
      <c r="G11" s="89"/>
      <c r="H11" s="89"/>
      <c r="I11" s="89"/>
      <c r="J11" s="89"/>
      <c r="K11" s="89"/>
    </row>
    <row r="13" spans="2:14">
      <c r="E13" s="11" t="s">
        <v>60</v>
      </c>
      <c r="F13" s="90" t="s">
        <v>61</v>
      </c>
      <c r="G13" s="90"/>
      <c r="H13" s="90" t="s">
        <v>62</v>
      </c>
      <c r="I13" s="90"/>
      <c r="J13" s="90"/>
      <c r="K13" s="90"/>
    </row>
    <row r="14" spans="2:14">
      <c r="E14" s="12" t="s">
        <v>201</v>
      </c>
      <c r="F14" s="82">
        <v>44344</v>
      </c>
      <c r="G14" s="83"/>
      <c r="H14" s="84" t="s">
        <v>202</v>
      </c>
      <c r="I14" s="85"/>
      <c r="J14" s="85"/>
      <c r="K14" s="86"/>
    </row>
  </sheetData>
  <mergeCells count="8">
    <mergeCell ref="F14:G14"/>
    <mergeCell ref="H14:K14"/>
    <mergeCell ref="B5:N6"/>
    <mergeCell ref="E9:K9"/>
    <mergeCell ref="F10:K10"/>
    <mergeCell ref="F11:K11"/>
    <mergeCell ref="F13:G13"/>
    <mergeCell ref="H13:K13"/>
  </mergeCells>
  <phoneticPr fontId="1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
    <tabColor rgb="FFFFC000"/>
  </sheetPr>
  <dimension ref="A1:D2"/>
  <sheetViews>
    <sheetView workbookViewId="0">
      <selection activeCell="C6" sqref="C6"/>
    </sheetView>
  </sheetViews>
  <sheetFormatPr defaultRowHeight="15.75"/>
  <cols>
    <col min="1" max="1" width="7.85546875" bestFit="1" customWidth="1"/>
    <col min="2" max="2" width="9.85546875" bestFit="1" customWidth="1"/>
    <col min="3" max="3" width="102.42578125" customWidth="1"/>
    <col min="4" max="4" width="26.85546875" customWidth="1"/>
    <col min="5" max="5" width="84.5703125" customWidth="1"/>
  </cols>
  <sheetData>
    <row r="1" spans="1:4">
      <c r="A1" s="8" t="s">
        <v>46</v>
      </c>
      <c r="B1" s="8" t="s">
        <v>47</v>
      </c>
      <c r="C1" s="8" t="s">
        <v>48</v>
      </c>
      <c r="D1" s="8" t="s">
        <v>49</v>
      </c>
    </row>
    <row r="2" spans="1:4">
      <c r="A2" s="5" t="s">
        <v>201</v>
      </c>
      <c r="B2" s="6">
        <v>44344</v>
      </c>
      <c r="C2" s="7" t="s">
        <v>202</v>
      </c>
      <c r="D2" s="5"/>
    </row>
  </sheetData>
  <phoneticPr fontId="1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tabColor rgb="FFFFC000"/>
  </sheetPr>
  <dimension ref="A1:D172"/>
  <sheetViews>
    <sheetView topLeftCell="A133" zoomScaleNormal="100" workbookViewId="0">
      <selection activeCell="D6" sqref="D6"/>
    </sheetView>
  </sheetViews>
  <sheetFormatPr defaultRowHeight="15.75"/>
  <cols>
    <col min="1" max="1" width="88.140625" style="45" customWidth="1"/>
    <col min="2" max="2" width="19" style="34" bestFit="1" customWidth="1"/>
    <col min="3" max="3" width="9.140625" style="40"/>
    <col min="4" max="4" width="246.42578125" style="25" customWidth="1"/>
    <col min="5" max="5" width="43.140625" style="25" customWidth="1"/>
    <col min="6" max="6" width="14.5703125" style="25" customWidth="1"/>
    <col min="7" max="7" width="7.7109375" style="25" bestFit="1" customWidth="1"/>
    <col min="8" max="8" width="80" style="25" customWidth="1"/>
    <col min="9" max="16384" width="9.140625" style="25"/>
  </cols>
  <sheetData>
    <row r="1" spans="1:4" ht="21">
      <c r="A1" s="95" t="s">
        <v>203</v>
      </c>
      <c r="B1" s="95"/>
      <c r="C1" s="95"/>
    </row>
    <row r="2" spans="1:4" ht="15.75" customHeight="1">
      <c r="A2" s="96" t="s">
        <v>204</v>
      </c>
      <c r="B2" s="96"/>
      <c r="C2" s="96"/>
    </row>
    <row r="3" spans="1:4">
      <c r="A3" s="96"/>
      <c r="B3" s="96"/>
      <c r="C3" s="96"/>
    </row>
    <row r="4" spans="1:4">
      <c r="A4" s="26"/>
      <c r="B4" s="27"/>
      <c r="C4" s="28"/>
    </row>
    <row r="5" spans="1:4">
      <c r="A5" s="29"/>
      <c r="B5" s="30"/>
      <c r="C5" s="31"/>
    </row>
    <row r="6" spans="1:4">
      <c r="A6" s="29"/>
      <c r="B6" s="30"/>
      <c r="C6" s="31"/>
    </row>
    <row r="7" spans="1:4">
      <c r="A7" s="29"/>
      <c r="B7" s="30"/>
      <c r="C7" s="31"/>
    </row>
    <row r="8" spans="1:4">
      <c r="A8" s="29"/>
      <c r="B8" s="30"/>
      <c r="C8" s="31"/>
    </row>
    <row r="9" spans="1:4">
      <c r="A9" s="29"/>
      <c r="B9" s="30"/>
      <c r="C9" s="31"/>
    </row>
    <row r="10" spans="1:4">
      <c r="A10" s="29"/>
      <c r="B10" s="30"/>
      <c r="C10" s="31"/>
    </row>
    <row r="11" spans="1:4">
      <c r="A11" s="29"/>
      <c r="B11" s="30"/>
      <c r="C11" s="31"/>
    </row>
    <row r="12" spans="1:4">
      <c r="A12" s="29"/>
      <c r="B12" s="30"/>
      <c r="C12" s="31"/>
    </row>
    <row r="13" spans="1:4">
      <c r="A13" s="29"/>
      <c r="B13" s="30"/>
      <c r="C13" s="31"/>
    </row>
    <row r="14" spans="1:4">
      <c r="A14" s="29"/>
      <c r="B14" s="30"/>
      <c r="C14" s="31"/>
    </row>
    <row r="15" spans="1:4" ht="21">
      <c r="A15" s="32" t="s">
        <v>174</v>
      </c>
      <c r="B15" s="24" t="s">
        <v>229</v>
      </c>
      <c r="C15" s="32"/>
      <c r="D15" s="33" t="s">
        <v>205</v>
      </c>
    </row>
    <row r="16" spans="1:4">
      <c r="A16" s="25"/>
      <c r="B16" s="25"/>
      <c r="C16" s="25"/>
    </row>
    <row r="17" spans="1:4" ht="21">
      <c r="A17" s="93" t="s">
        <v>64</v>
      </c>
      <c r="B17" s="93"/>
      <c r="C17" s="93"/>
      <c r="D17" s="34"/>
    </row>
    <row r="18" spans="1:4" s="35" customFormat="1">
      <c r="A18" s="34" t="s">
        <v>75</v>
      </c>
      <c r="B18" s="24">
        <v>12</v>
      </c>
      <c r="C18" s="34" t="s">
        <v>1</v>
      </c>
      <c r="D18" s="36"/>
    </row>
    <row r="19" spans="1:4" s="35" customFormat="1">
      <c r="A19" s="34" t="s">
        <v>68</v>
      </c>
      <c r="B19" s="24">
        <v>60</v>
      </c>
      <c r="C19" s="34" t="s">
        <v>1</v>
      </c>
      <c r="D19" s="33" t="s">
        <v>110</v>
      </c>
    </row>
    <row r="20" spans="1:4" s="35" customFormat="1">
      <c r="A20" s="34" t="s">
        <v>76</v>
      </c>
      <c r="B20" s="24">
        <v>8</v>
      </c>
      <c r="C20" s="34" t="s">
        <v>1</v>
      </c>
      <c r="D20" s="33" t="s">
        <v>111</v>
      </c>
    </row>
    <row r="21" spans="1:4" s="35" customFormat="1">
      <c r="A21" s="34" t="s">
        <v>63</v>
      </c>
      <c r="B21" s="24">
        <v>5</v>
      </c>
      <c r="C21" s="34" t="s">
        <v>1</v>
      </c>
      <c r="D21" s="34"/>
    </row>
    <row r="22" spans="1:4" s="35" customFormat="1">
      <c r="A22" s="34" t="s">
        <v>67</v>
      </c>
      <c r="B22" s="24">
        <v>5</v>
      </c>
      <c r="C22" s="34" t="s">
        <v>14</v>
      </c>
      <c r="D22" s="36"/>
    </row>
    <row r="23" spans="1:4" s="35" customFormat="1">
      <c r="A23" s="37" t="s">
        <v>149</v>
      </c>
      <c r="B23" s="24">
        <v>8</v>
      </c>
      <c r="C23" s="34" t="s">
        <v>50</v>
      </c>
      <c r="D23" s="34"/>
    </row>
    <row r="24" spans="1:4" s="35" customFormat="1">
      <c r="A24" s="37" t="s">
        <v>148</v>
      </c>
      <c r="B24" s="24">
        <v>6</v>
      </c>
      <c r="C24" s="34" t="s">
        <v>50</v>
      </c>
      <c r="D24" s="34"/>
    </row>
    <row r="25" spans="1:4">
      <c r="A25" s="38" t="s">
        <v>65</v>
      </c>
      <c r="B25" s="24">
        <v>1</v>
      </c>
      <c r="C25" s="34" t="s">
        <v>66</v>
      </c>
      <c r="D25" s="36"/>
    </row>
    <row r="26" spans="1:4">
      <c r="A26" s="39" t="s">
        <v>150</v>
      </c>
      <c r="B26" s="21">
        <f>B21*(B25/100)</f>
        <v>0.05</v>
      </c>
      <c r="C26" s="34" t="s">
        <v>50</v>
      </c>
      <c r="D26" s="36"/>
    </row>
    <row r="27" spans="1:4" s="35" customFormat="1">
      <c r="A27" s="37" t="s">
        <v>131</v>
      </c>
      <c r="B27" s="24">
        <v>5</v>
      </c>
      <c r="C27" s="34" t="s">
        <v>14</v>
      </c>
      <c r="D27" s="36"/>
    </row>
    <row r="28" spans="1:4" s="35" customFormat="1">
      <c r="A28" s="37" t="s">
        <v>132</v>
      </c>
      <c r="B28" s="24">
        <v>2.5</v>
      </c>
      <c r="C28" s="34" t="s">
        <v>14</v>
      </c>
      <c r="D28" s="34"/>
    </row>
    <row r="29" spans="1:4" s="35" customFormat="1">
      <c r="A29" s="37" t="s">
        <v>185</v>
      </c>
      <c r="B29" s="24">
        <v>10</v>
      </c>
      <c r="C29" s="34" t="s">
        <v>66</v>
      </c>
      <c r="D29" s="34"/>
    </row>
    <row r="30" spans="1:4" s="35" customFormat="1">
      <c r="A30" s="37" t="s">
        <v>197</v>
      </c>
      <c r="B30" s="21">
        <f>B21*(B29/100)</f>
        <v>0.5</v>
      </c>
      <c r="C30" s="34" t="s">
        <v>50</v>
      </c>
      <c r="D30" s="34"/>
    </row>
    <row r="32" spans="1:4" ht="21">
      <c r="A32" s="93" t="s">
        <v>84</v>
      </c>
      <c r="B32" s="93"/>
      <c r="C32" s="93"/>
    </row>
    <row r="33" spans="1:4">
      <c r="A33" s="34" t="s">
        <v>133</v>
      </c>
      <c r="B33" s="21">
        <f>B21/(B19*VLOOKUP(B15,'parameter setting'!$A$2:$Z$6,13,FALSE)*10^-3)</f>
        <v>0.61728395061728403</v>
      </c>
      <c r="C33" s="35" t="s">
        <v>13</v>
      </c>
    </row>
    <row r="34" spans="1:4">
      <c r="A34" s="34" t="s">
        <v>77</v>
      </c>
      <c r="B34" s="24">
        <v>0.1</v>
      </c>
      <c r="C34" s="35" t="s">
        <v>50</v>
      </c>
    </row>
    <row r="35" spans="1:4">
      <c r="A35" s="34" t="s">
        <v>134</v>
      </c>
      <c r="B35" s="21">
        <f>VLOOKUP(B15,'parameter setting'!A2:Z6,14,FALSE)/(B19*VLOOKUP(B15,'parameter setting'!A2:Z6,13,FALSE)*10^-3)</f>
        <v>0.98765432098765438</v>
      </c>
      <c r="C35" s="35" t="s">
        <v>13</v>
      </c>
    </row>
    <row r="36" spans="1:4">
      <c r="A36" s="34" t="s">
        <v>135</v>
      </c>
      <c r="B36" s="24">
        <v>0.4</v>
      </c>
      <c r="C36" s="35" t="s">
        <v>13</v>
      </c>
    </row>
    <row r="37" spans="1:4">
      <c r="A37" s="34" t="s">
        <v>78</v>
      </c>
      <c r="B37" s="21">
        <f>VLOOKUP(B15,'parameter setting'!A2:Z6,17,FALSE)/(B36*1000)^(VLOOKUP(B15,'parameter setting'!A2:Z6,16,FALSE))</f>
        <v>246.7526569338209</v>
      </c>
      <c r="C37" s="40" t="s">
        <v>17</v>
      </c>
    </row>
    <row r="38" spans="1:4">
      <c r="A38" s="34" t="s">
        <v>79</v>
      </c>
      <c r="B38" s="24">
        <v>249</v>
      </c>
      <c r="C38" s="40" t="s">
        <v>17</v>
      </c>
    </row>
    <row r="39" spans="1:4">
      <c r="A39" s="34" t="s">
        <v>136</v>
      </c>
      <c r="B39" s="22">
        <f>VLOOKUP(B15,'parameter setting'!A2:Z6,18,FALSE)/('RTQ296x_design tool'!B38^VLOOKUP(B15,'parameter setting'!A2:Z6,19,FALSE))/1000</f>
        <v>0.39662329798037416</v>
      </c>
      <c r="C39" s="35" t="s">
        <v>13</v>
      </c>
    </row>
    <row r="40" spans="1:4">
      <c r="A40" s="34" t="s">
        <v>80</v>
      </c>
      <c r="B40" s="24">
        <v>0.5</v>
      </c>
      <c r="C40" s="35" t="s">
        <v>50</v>
      </c>
    </row>
    <row r="41" spans="1:4">
      <c r="A41" s="34" t="s">
        <v>81</v>
      </c>
      <c r="B41" s="24">
        <v>0.03</v>
      </c>
      <c r="C41" s="41" t="s">
        <v>82</v>
      </c>
      <c r="D41" s="42"/>
    </row>
    <row r="42" spans="1:4" ht="31.5">
      <c r="A42" s="34" t="s">
        <v>156</v>
      </c>
      <c r="B42" s="21">
        <f>((B21+B22*B41+B40)/(1-(200*10^-9)*(B39*10^6)))+B22*'RTQ296x_design tool'!K2-'RTQ296x_design tool'!B40</f>
        <v>5.6367995340476833</v>
      </c>
      <c r="C42" s="35" t="s">
        <v>50</v>
      </c>
      <c r="D42" s="43" t="s">
        <v>91</v>
      </c>
    </row>
    <row r="43" spans="1:4" ht="16.5">
      <c r="A43" s="34" t="s">
        <v>151</v>
      </c>
      <c r="B43" s="23">
        <f>IF((B21/((B39*10^6)*(VLOOKUP(B15,'parameter setting'!A2:Z6,13,FALSE)*10^-9)))&gt;=VLOOKUP(B15,'parameter setting'!A2:Z6,23,FALSE),VLOOKUP(B15,'parameter setting'!A2:Z6,23,FALSE),B21/((B36*10^6)*(VLOOKUP(B15,'parameter setting'!A2:Z6,13,FALSE)*10^-9)))</f>
        <v>60</v>
      </c>
      <c r="C43" s="35" t="s">
        <v>160</v>
      </c>
      <c r="D43" s="44" t="s">
        <v>143</v>
      </c>
    </row>
    <row r="44" spans="1:4">
      <c r="C44" s="35"/>
      <c r="D44" s="46"/>
    </row>
    <row r="45" spans="1:4" ht="21">
      <c r="A45" s="93" t="s">
        <v>85</v>
      </c>
      <c r="B45" s="93"/>
      <c r="C45" s="93"/>
      <c r="D45" s="78"/>
    </row>
    <row r="46" spans="1:4">
      <c r="A46" s="34" t="s">
        <v>31</v>
      </c>
      <c r="B46" s="24">
        <v>30</v>
      </c>
      <c r="C46" s="40" t="s">
        <v>23</v>
      </c>
      <c r="D46" s="47" t="s">
        <v>190</v>
      </c>
    </row>
    <row r="47" spans="1:4" ht="18" customHeight="1">
      <c r="A47" s="34" t="s">
        <v>121</v>
      </c>
      <c r="B47" s="21">
        <f>((B21*(B18-B21))/(B18*B39*10^6*(B46/100)*VLOOKUP(B15,'parameter setting'!A2:Z6,3,FALSE)))/10^-6</f>
        <v>4.9024967881252905</v>
      </c>
      <c r="C47" s="40" t="s">
        <v>7</v>
      </c>
      <c r="D47" s="48" t="s">
        <v>191</v>
      </c>
    </row>
    <row r="48" spans="1:4" ht="22.5" customHeight="1">
      <c r="A48" s="34" t="s">
        <v>122</v>
      </c>
      <c r="B48" s="21">
        <f>(B21/(VLOOKUP(B15,'parameter setting'!A2:Z6,8,FALSE)*B39*10^6))/10^-6</f>
        <v>3.1516050780805447</v>
      </c>
      <c r="C48" s="40" t="s">
        <v>7</v>
      </c>
      <c r="D48" s="48" t="s">
        <v>200</v>
      </c>
    </row>
    <row r="49" spans="1:4">
      <c r="A49" s="34" t="s">
        <v>123</v>
      </c>
      <c r="B49" s="24">
        <v>6.8</v>
      </c>
      <c r="C49" s="40" t="s">
        <v>7</v>
      </c>
      <c r="D49" s="78"/>
    </row>
    <row r="50" spans="1:4" ht="16.5">
      <c r="A50" s="34" t="s">
        <v>93</v>
      </c>
      <c r="B50" s="21">
        <f>(B21*(B18-B21))/(B18*B39*B49)</f>
        <v>1.0814331150276377</v>
      </c>
      <c r="C50" s="40" t="s">
        <v>6</v>
      </c>
    </row>
    <row r="51" spans="1:4">
      <c r="A51" s="34" t="s">
        <v>92</v>
      </c>
      <c r="B51" s="21">
        <f>B27+(B50/2)</f>
        <v>5.5407165575138189</v>
      </c>
      <c r="C51" s="40" t="s">
        <v>6</v>
      </c>
      <c r="D51" s="49" t="s">
        <v>24</v>
      </c>
    </row>
    <row r="53" spans="1:4" ht="21">
      <c r="A53" s="93" t="s">
        <v>86</v>
      </c>
      <c r="B53" s="93"/>
      <c r="C53" s="93"/>
    </row>
    <row r="54" spans="1:4">
      <c r="A54" s="34" t="s">
        <v>74</v>
      </c>
      <c r="B54" s="21">
        <f>((B22*((B21/B18)*(1-B21/B18)))/(VLOOKUP(B15,'parameter setting'!A2:Z6,22,FALSE)*B39*10^6))/10^-6</f>
        <v>2.3569696096756205</v>
      </c>
      <c r="C54" s="50" t="s">
        <v>2</v>
      </c>
      <c r="D54" s="49" t="s">
        <v>90</v>
      </c>
    </row>
    <row r="55" spans="1:4">
      <c r="A55" s="51" t="s">
        <v>159</v>
      </c>
      <c r="B55" s="52">
        <v>8.8000000000000007</v>
      </c>
      <c r="C55" s="50" t="s">
        <v>2</v>
      </c>
      <c r="D55" s="46"/>
    </row>
    <row r="56" spans="1:4">
      <c r="A56" s="34" t="s">
        <v>137</v>
      </c>
      <c r="B56" s="52">
        <v>63</v>
      </c>
      <c r="C56" s="40" t="s">
        <v>23</v>
      </c>
    </row>
    <row r="57" spans="1:4">
      <c r="A57" s="34" t="s">
        <v>138</v>
      </c>
      <c r="B57" s="52">
        <v>8</v>
      </c>
      <c r="C57" s="40" t="s">
        <v>23</v>
      </c>
    </row>
    <row r="58" spans="1:4">
      <c r="A58" s="34" t="s">
        <v>139</v>
      </c>
      <c r="B58" s="52">
        <v>71</v>
      </c>
      <c r="C58" s="40" t="s">
        <v>23</v>
      </c>
      <c r="D58" s="42"/>
    </row>
    <row r="59" spans="1:4">
      <c r="A59" s="34" t="s">
        <v>155</v>
      </c>
      <c r="B59" s="21">
        <f>(100-B56)/100*B55</f>
        <v>3.2560000000000002</v>
      </c>
      <c r="C59" s="50" t="s">
        <v>2</v>
      </c>
    </row>
    <row r="60" spans="1:4">
      <c r="A60" s="34" t="s">
        <v>140</v>
      </c>
      <c r="B60" s="21">
        <f>(100-B57)/100*B55</f>
        <v>8.0960000000000019</v>
      </c>
      <c r="C60" s="50" t="s">
        <v>2</v>
      </c>
      <c r="D60" s="40"/>
    </row>
    <row r="61" spans="1:4">
      <c r="A61" s="34" t="s">
        <v>141</v>
      </c>
      <c r="B61" s="21">
        <f>(100-B58)/100*B55</f>
        <v>2.552</v>
      </c>
      <c r="C61" s="50" t="s">
        <v>2</v>
      </c>
      <c r="D61" s="42"/>
    </row>
    <row r="62" spans="1:4">
      <c r="A62" s="34" t="s">
        <v>161</v>
      </c>
      <c r="B62" s="21">
        <f>((B22*((B21/B18)*(1-B21/B18)))/(B59*B36*10^6))/10^-6</f>
        <v>0.93310640185640159</v>
      </c>
      <c r="C62" s="40" t="s">
        <v>160</v>
      </c>
      <c r="D62" s="53" t="s">
        <v>182</v>
      </c>
    </row>
    <row r="63" spans="1:4">
      <c r="A63" s="34" t="s">
        <v>162</v>
      </c>
      <c r="B63" s="21">
        <f>((B22*((B21/B18)*(1-B21/B18)))/(B60*B36*10^6))/10^-6</f>
        <v>0.37527105292050933</v>
      </c>
      <c r="C63" s="40" t="s">
        <v>160</v>
      </c>
      <c r="D63" s="53" t="s">
        <v>182</v>
      </c>
    </row>
    <row r="64" spans="1:4">
      <c r="A64" s="34" t="s">
        <v>163</v>
      </c>
      <c r="B64" s="21">
        <f>((B22*((B21/B18)*(1-B21/B18)))/(B61*B36*10^6))/10^-6</f>
        <v>1.190515064437478</v>
      </c>
      <c r="C64" s="40" t="s">
        <v>160</v>
      </c>
      <c r="D64" s="53" t="s">
        <v>182</v>
      </c>
    </row>
    <row r="65" spans="1:4">
      <c r="A65" s="34" t="s">
        <v>164</v>
      </c>
      <c r="B65" s="21">
        <f>B22*((B21/B18)*(1-(B21/B18))^(1/2))</f>
        <v>1.591172116304111</v>
      </c>
      <c r="C65" s="40" t="s">
        <v>167</v>
      </c>
      <c r="D65" s="91" t="s">
        <v>186</v>
      </c>
    </row>
    <row r="66" spans="1:4">
      <c r="A66" s="34" t="s">
        <v>165</v>
      </c>
      <c r="B66" s="21">
        <f>B22*((B21/B20)*(1-(B21/B20))^(1/2))</f>
        <v>1.9136638615493577</v>
      </c>
      <c r="C66" s="40" t="s">
        <v>167</v>
      </c>
      <c r="D66" s="91"/>
    </row>
    <row r="67" spans="1:4">
      <c r="A67" s="34" t="s">
        <v>166</v>
      </c>
      <c r="B67" s="21">
        <f>B22*SQRT((B21/B19)*(1-(B21/B19)))</f>
        <v>1.3819269959814164</v>
      </c>
      <c r="C67" s="40" t="s">
        <v>167</v>
      </c>
      <c r="D67" s="91"/>
    </row>
    <row r="68" spans="1:4">
      <c r="A68" s="34"/>
    </row>
    <row r="69" spans="1:4" ht="21">
      <c r="A69" s="93" t="s">
        <v>87</v>
      </c>
      <c r="B69" s="93"/>
      <c r="C69" s="93"/>
    </row>
    <row r="70" spans="1:4" s="35" customFormat="1">
      <c r="A70" s="34" t="s">
        <v>113</v>
      </c>
      <c r="B70" s="24">
        <v>6</v>
      </c>
      <c r="C70" s="34" t="s">
        <v>23</v>
      </c>
      <c r="D70" s="54">
        <v>0.08</v>
      </c>
    </row>
    <row r="71" spans="1:4">
      <c r="A71" s="34" t="s">
        <v>19</v>
      </c>
      <c r="B71" s="74">
        <f>(B70/100)*B39</f>
        <v>2.379739787882245E-2</v>
      </c>
      <c r="C71" s="34" t="s">
        <v>13</v>
      </c>
      <c r="D71" s="47" t="s">
        <v>187</v>
      </c>
    </row>
    <row r="72" spans="1:4" s="35" customFormat="1">
      <c r="A72" s="34" t="s">
        <v>114</v>
      </c>
      <c r="B72" s="21">
        <f>((B46*0.01*VLOOKUP(B15,'parameter setting'!A2:Z6,3,FALSE))/(B26*8*B39*10^6))/10^-6</f>
        <v>9.4548152342416323</v>
      </c>
      <c r="C72" s="50" t="s">
        <v>2</v>
      </c>
      <c r="D72" s="55" t="s">
        <v>188</v>
      </c>
    </row>
    <row r="73" spans="1:4" s="35" customFormat="1">
      <c r="A73" s="34" t="s">
        <v>69</v>
      </c>
      <c r="B73" s="21">
        <f>((B27-B28)/(2*3.14*B30*B71*10^6))/10^-6</f>
        <v>33.456529491300891</v>
      </c>
      <c r="C73" s="50" t="s">
        <v>2</v>
      </c>
      <c r="D73" s="55" t="s">
        <v>189</v>
      </c>
    </row>
    <row r="74" spans="1:4" s="40" customFormat="1">
      <c r="A74" s="51" t="s">
        <v>72</v>
      </c>
      <c r="B74" s="56">
        <v>141</v>
      </c>
      <c r="C74" s="50" t="s">
        <v>2</v>
      </c>
      <c r="D74" s="57"/>
    </row>
    <row r="75" spans="1:4" s="40" customFormat="1">
      <c r="A75" s="34" t="s">
        <v>115</v>
      </c>
      <c r="B75" s="58">
        <v>40</v>
      </c>
      <c r="C75" s="50" t="s">
        <v>15</v>
      </c>
    </row>
    <row r="76" spans="1:4">
      <c r="A76" s="34" t="s">
        <v>25</v>
      </c>
      <c r="B76" s="21">
        <f>B74*((100-B75)/100)</f>
        <v>84.6</v>
      </c>
      <c r="C76" s="40" t="s">
        <v>2</v>
      </c>
    </row>
    <row r="77" spans="1:4">
      <c r="A77" s="34" t="s">
        <v>71</v>
      </c>
      <c r="B77" s="22">
        <f>(B26/B50)-(8*B39*10^6*B76)^-1</f>
        <v>4.6234940724982104E-2</v>
      </c>
      <c r="C77" s="50" t="s">
        <v>70</v>
      </c>
    </row>
    <row r="78" spans="1:4">
      <c r="A78" s="34" t="s">
        <v>73</v>
      </c>
      <c r="B78" s="59">
        <v>2E-3</v>
      </c>
      <c r="C78" s="50" t="s">
        <v>70</v>
      </c>
    </row>
    <row r="79" spans="1:4">
      <c r="A79" s="34" t="s">
        <v>184</v>
      </c>
      <c r="B79" s="22">
        <f>B50*(B78+(1/(8*B39*B76)))*1000</f>
        <v>6.1915306472249743</v>
      </c>
      <c r="C79" s="35" t="s">
        <v>157</v>
      </c>
    </row>
    <row r="80" spans="1:4">
      <c r="A80" s="34" t="s">
        <v>183</v>
      </c>
      <c r="B80" s="22">
        <f>((B27-B28)*(B78+(1/(2*3.14*B76*B71)))*1000)</f>
        <v>202.73362583511167</v>
      </c>
      <c r="C80" s="40" t="s">
        <v>168</v>
      </c>
    </row>
    <row r="81" spans="1:3">
      <c r="A81" s="60"/>
      <c r="B81" s="60"/>
    </row>
    <row r="82" spans="1:3" ht="21">
      <c r="A82" s="93" t="s">
        <v>116</v>
      </c>
      <c r="B82" s="93"/>
      <c r="C82" s="93"/>
    </row>
    <row r="83" spans="1:3">
      <c r="A83" s="94" t="s">
        <v>198</v>
      </c>
      <c r="B83" s="94"/>
      <c r="C83" s="94"/>
    </row>
    <row r="84" spans="1:3">
      <c r="A84" s="94"/>
      <c r="B84" s="94"/>
      <c r="C84" s="94"/>
    </row>
    <row r="85" spans="1:3">
      <c r="A85" s="94"/>
      <c r="B85" s="94"/>
      <c r="C85" s="94"/>
    </row>
    <row r="86" spans="1:3" ht="21.75" customHeight="1">
      <c r="A86" s="94"/>
      <c r="B86" s="94"/>
      <c r="C86" s="94"/>
    </row>
    <row r="87" spans="1:3">
      <c r="A87" s="34"/>
    </row>
    <row r="88" spans="1:3">
      <c r="A88" s="34"/>
    </row>
    <row r="89" spans="1:3">
      <c r="A89" s="34"/>
    </row>
    <row r="90" spans="1:3">
      <c r="A90" s="34"/>
    </row>
    <row r="98" spans="1:4" s="40" customFormat="1" ht="21">
      <c r="A98" s="93" t="s">
        <v>180</v>
      </c>
      <c r="B98" s="93"/>
      <c r="C98" s="93"/>
    </row>
    <row r="99" spans="1:4" s="40" customFormat="1">
      <c r="A99" s="34" t="s">
        <v>9</v>
      </c>
      <c r="B99" s="21">
        <v>0.8</v>
      </c>
      <c r="C99" s="40" t="s">
        <v>1</v>
      </c>
    </row>
    <row r="100" spans="1:4" s="40" customFormat="1">
      <c r="A100" s="34" t="s">
        <v>145</v>
      </c>
      <c r="B100" s="24">
        <v>10</v>
      </c>
      <c r="C100" s="35" t="s">
        <v>0</v>
      </c>
      <c r="D100" s="49" t="s">
        <v>55</v>
      </c>
    </row>
    <row r="101" spans="1:4" s="40" customFormat="1">
      <c r="A101" s="34" t="s">
        <v>18</v>
      </c>
      <c r="B101" s="21">
        <f>(B100*(B21-B99))/B99</f>
        <v>52.5</v>
      </c>
      <c r="C101" s="40" t="s">
        <v>0</v>
      </c>
    </row>
    <row r="102" spans="1:4" s="40" customFormat="1">
      <c r="A102" s="34" t="s">
        <v>146</v>
      </c>
      <c r="B102" s="24">
        <v>52.3</v>
      </c>
      <c r="C102" s="35" t="s">
        <v>0</v>
      </c>
    </row>
    <row r="103" spans="1:4">
      <c r="A103" s="34" t="s">
        <v>142</v>
      </c>
      <c r="B103" s="21">
        <f>B99*(1+(B102/B100))</f>
        <v>4.984</v>
      </c>
      <c r="C103" s="40" t="s">
        <v>1</v>
      </c>
    </row>
    <row r="105" spans="1:4" ht="21">
      <c r="A105" s="93" t="s">
        <v>88</v>
      </c>
      <c r="B105" s="93"/>
      <c r="C105" s="93"/>
      <c r="D105" s="61"/>
    </row>
    <row r="106" spans="1:4">
      <c r="A106" s="51" t="s">
        <v>72</v>
      </c>
      <c r="B106" s="21">
        <f>B74</f>
        <v>141</v>
      </c>
      <c r="C106" s="50" t="s">
        <v>2</v>
      </c>
      <c r="D106" s="49" t="s">
        <v>89</v>
      </c>
    </row>
    <row r="107" spans="1:4">
      <c r="A107" s="34" t="s">
        <v>115</v>
      </c>
      <c r="B107" s="21">
        <f>B75</f>
        <v>40</v>
      </c>
      <c r="C107" s="50" t="s">
        <v>15</v>
      </c>
      <c r="D107" s="62"/>
    </row>
    <row r="108" spans="1:4">
      <c r="A108" s="34" t="s">
        <v>25</v>
      </c>
      <c r="B108" s="21">
        <f>B76</f>
        <v>84.6</v>
      </c>
      <c r="C108" s="40" t="s">
        <v>26</v>
      </c>
      <c r="D108" s="62"/>
    </row>
    <row r="109" spans="1:4">
      <c r="A109" s="34" t="s">
        <v>20</v>
      </c>
      <c r="B109" s="21">
        <f>(((2*3.14*(B71*10^6)*((B108)*10^-6))/(VLOOKUP(B15,'parameter setting'!A2:Z6,6,FALSE)*10^-6*VLOOKUP(B15,'parameter setting'!A2:Z6,7,FALSE)))*((B102+B100)/B100))*10^-3</f>
        <v>10.530425680219118</v>
      </c>
      <c r="C109" s="40" t="s">
        <v>0</v>
      </c>
    </row>
    <row r="110" spans="1:4">
      <c r="A110" s="34" t="s">
        <v>16</v>
      </c>
      <c r="B110" s="58">
        <v>10.5</v>
      </c>
      <c r="C110" s="35" t="s">
        <v>0</v>
      </c>
    </row>
    <row r="111" spans="1:4">
      <c r="A111" s="34" t="s">
        <v>3</v>
      </c>
      <c r="B111" s="21">
        <f>B21/B22</f>
        <v>1</v>
      </c>
      <c r="C111" s="40" t="s">
        <v>4</v>
      </c>
    </row>
    <row r="112" spans="1:4">
      <c r="A112" s="34" t="s">
        <v>21</v>
      </c>
      <c r="B112" s="21">
        <f>((B111*(B108)*10^-6)/(B110*10^3))*10^9</f>
        <v>8.0571428571428569</v>
      </c>
      <c r="C112" s="40" t="s">
        <v>5</v>
      </c>
    </row>
    <row r="113" spans="1:4">
      <c r="A113" s="34" t="s">
        <v>22</v>
      </c>
      <c r="B113" s="58">
        <v>8.1999999999999993</v>
      </c>
      <c r="C113" s="35" t="s">
        <v>5</v>
      </c>
    </row>
    <row r="115" spans="1:4" ht="18.75">
      <c r="A115" s="63" t="s">
        <v>194</v>
      </c>
      <c r="C115" s="35"/>
      <c r="D115" s="64"/>
    </row>
    <row r="116" spans="1:4">
      <c r="A116" s="34" t="s">
        <v>73</v>
      </c>
      <c r="B116" s="22">
        <f>B78</f>
        <v>2E-3</v>
      </c>
      <c r="C116" s="41" t="s">
        <v>27</v>
      </c>
    </row>
    <row r="117" spans="1:4">
      <c r="A117" s="34" t="s">
        <v>94</v>
      </c>
      <c r="B117" s="22">
        <f>((B116*B108*10^-6)/(B110*10^3))/10^-9</f>
        <v>1.6114285714285709E-2</v>
      </c>
      <c r="C117" s="40" t="s">
        <v>8</v>
      </c>
    </row>
    <row r="118" spans="1:4">
      <c r="A118" s="34" t="s">
        <v>95</v>
      </c>
      <c r="B118" s="24"/>
      <c r="C118" s="35" t="s">
        <v>5</v>
      </c>
    </row>
    <row r="119" spans="1:4" ht="18.75">
      <c r="A119" s="63" t="s">
        <v>195</v>
      </c>
      <c r="B119" s="65"/>
      <c r="C119" s="66"/>
      <c r="D119" s="67"/>
    </row>
    <row r="120" spans="1:4">
      <c r="A120" s="34" t="s">
        <v>94</v>
      </c>
      <c r="B120" s="21">
        <f>(1/(2*3.14*(B39*10^6*0.5)*B110*10^3))/10^-12</f>
        <v>76.472067408687764</v>
      </c>
      <c r="C120" s="40" t="s">
        <v>12</v>
      </c>
      <c r="D120" s="48" t="s">
        <v>193</v>
      </c>
    </row>
    <row r="121" spans="1:4">
      <c r="A121" s="34" t="s">
        <v>95</v>
      </c>
      <c r="B121" s="24">
        <v>100</v>
      </c>
      <c r="C121" s="35" t="s">
        <v>12</v>
      </c>
      <c r="D121" s="48" t="s">
        <v>220</v>
      </c>
    </row>
    <row r="123" spans="1:4">
      <c r="A123" s="68" t="s">
        <v>117</v>
      </c>
    </row>
    <row r="124" spans="1:4">
      <c r="A124" s="34" t="s">
        <v>96</v>
      </c>
      <c r="B124" s="21">
        <f>B110</f>
        <v>10.5</v>
      </c>
      <c r="C124" s="35" t="s">
        <v>28</v>
      </c>
    </row>
    <row r="125" spans="1:4">
      <c r="A125" s="34" t="s">
        <v>97</v>
      </c>
      <c r="B125" s="21">
        <f>B113</f>
        <v>8.1999999999999993</v>
      </c>
      <c r="C125" s="35" t="s">
        <v>29</v>
      </c>
    </row>
    <row r="126" spans="1:4">
      <c r="A126" s="34" t="s">
        <v>98</v>
      </c>
      <c r="B126" s="21">
        <f>B118</f>
        <v>0</v>
      </c>
      <c r="C126" s="35" t="s">
        <v>5</v>
      </c>
    </row>
    <row r="127" spans="1:4">
      <c r="A127" s="34" t="s">
        <v>99</v>
      </c>
      <c r="B127" s="21">
        <f>B121</f>
        <v>100</v>
      </c>
      <c r="C127" s="35" t="s">
        <v>30</v>
      </c>
    </row>
    <row r="130" spans="1:3" ht="21">
      <c r="A130" s="93" t="s">
        <v>118</v>
      </c>
      <c r="B130" s="93"/>
      <c r="C130" s="93"/>
    </row>
    <row r="131" spans="1:3">
      <c r="A131" s="34" t="s">
        <v>124</v>
      </c>
      <c r="B131" s="21">
        <f>100*(B21/B18)</f>
        <v>41.666666666666671</v>
      </c>
      <c r="C131" s="35" t="s">
        <v>125</v>
      </c>
    </row>
    <row r="132" spans="1:3">
      <c r="A132" s="34" t="s">
        <v>126</v>
      </c>
      <c r="B132" s="21">
        <f>100*(B21/B19)</f>
        <v>8.3333333333333321</v>
      </c>
      <c r="C132" s="35" t="s">
        <v>127</v>
      </c>
    </row>
    <row r="133" spans="1:3">
      <c r="A133" s="34" t="s">
        <v>128</v>
      </c>
      <c r="B133" s="21">
        <f>100*(B21/B20)</f>
        <v>62.5</v>
      </c>
      <c r="C133" s="35" t="s">
        <v>23</v>
      </c>
    </row>
    <row r="134" spans="1:3" ht="15.75" customHeight="1">
      <c r="A134" s="92" t="s">
        <v>196</v>
      </c>
      <c r="B134" s="92"/>
      <c r="C134" s="92"/>
    </row>
    <row r="135" spans="1:3">
      <c r="A135" s="92"/>
      <c r="B135" s="92"/>
      <c r="C135" s="92"/>
    </row>
    <row r="136" spans="1:3" ht="23.25" customHeight="1">
      <c r="A136" s="92"/>
      <c r="B136" s="92"/>
      <c r="C136" s="92"/>
    </row>
    <row r="137" spans="1:3">
      <c r="A137" s="34" t="s">
        <v>152</v>
      </c>
      <c r="C137" s="34"/>
    </row>
    <row r="147" spans="1:4" ht="21">
      <c r="A147" s="93" t="s">
        <v>100</v>
      </c>
      <c r="B147" s="93"/>
      <c r="C147" s="93"/>
    </row>
    <row r="148" spans="1:4" s="35" customFormat="1">
      <c r="A148" s="34" t="s">
        <v>101</v>
      </c>
      <c r="B148" s="21">
        <f>(B23-B24)/(VLOOKUP(B15,'parameter setting'!A2:Z6,10,FALSE)*10^-3)</f>
        <v>588.23529411764707</v>
      </c>
      <c r="C148" s="35" t="s">
        <v>51</v>
      </c>
    </row>
    <row r="149" spans="1:4" s="35" customFormat="1">
      <c r="A149" s="34" t="s">
        <v>102</v>
      </c>
      <c r="B149" s="24">
        <v>576</v>
      </c>
      <c r="C149" s="35" t="s">
        <v>52</v>
      </c>
    </row>
    <row r="150" spans="1:4" s="35" customFormat="1">
      <c r="A150" s="34" t="s">
        <v>103</v>
      </c>
      <c r="B150" s="21">
        <f>(VLOOKUP(B15,'parameter setting'!A2:Z6,12,FALSE)/(((B23-VLOOKUP(B15,'parameter setting'!A2:Z6,12,FALSE))/(B149*10^3))+(VLOOKUP(B15,'parameter setting'!A2:Z6,9,FALSE)*10^-6)))*10^-3</f>
        <v>92.268261426740708</v>
      </c>
      <c r="C150" s="35" t="s">
        <v>52</v>
      </c>
    </row>
    <row r="151" spans="1:4" s="35" customFormat="1">
      <c r="A151" s="34" t="s">
        <v>104</v>
      </c>
      <c r="B151" s="24">
        <v>91</v>
      </c>
      <c r="C151" s="35" t="s">
        <v>52</v>
      </c>
    </row>
    <row r="152" spans="1:4" s="35" customFormat="1">
      <c r="A152" s="34" t="s">
        <v>153</v>
      </c>
      <c r="B152" s="21">
        <f>(((VLOOKUP(B15,'parameter setting'!A2:Z6,12,FALSE)/('RTQ296x_design tool'!B151*10^3))-(VLOOKUP(B15,'parameter setting'!A2:Z6,9,FALSE)*10^-6))*(B149*10^3))+VLOOKUP(B15,'parameter setting'!A2:Z6,12,FALSE)</f>
        <v>8.1044043956043961</v>
      </c>
      <c r="C152" s="35" t="s">
        <v>50</v>
      </c>
    </row>
    <row r="153" spans="1:4" s="35" customFormat="1">
      <c r="A153" s="34" t="s">
        <v>154</v>
      </c>
      <c r="B153" s="21">
        <f>B152-((B149*10^3)*VLOOKUP(B15,'parameter setting'!A2:Z6,10,FALSE)*10^-6)</f>
        <v>6.1460043956043959</v>
      </c>
      <c r="C153" s="35" t="s">
        <v>50</v>
      </c>
    </row>
    <row r="155" spans="1:4" ht="21">
      <c r="A155" s="93" t="s">
        <v>106</v>
      </c>
      <c r="B155" s="93"/>
      <c r="C155" s="93"/>
    </row>
    <row r="156" spans="1:4">
      <c r="A156" s="34" t="s">
        <v>105</v>
      </c>
      <c r="B156" s="24">
        <v>3</v>
      </c>
      <c r="C156" s="40" t="s">
        <v>11</v>
      </c>
    </row>
    <row r="157" spans="1:4">
      <c r="A157" s="34" t="s">
        <v>179</v>
      </c>
      <c r="B157" s="22">
        <f>B76*10^-6*VLOOKUP(B15,'parameter setting'!A2:Z6,5,FALSE)*10^-6*B21/(0.8*VLOOKUP(B15,'parameter setting'!A2:Z6,20,FALSE)-0.5*B50)*10^9</f>
        <v>0.15772215284949997</v>
      </c>
      <c r="C157" s="35" t="s">
        <v>5</v>
      </c>
    </row>
    <row r="158" spans="1:4" s="35" customFormat="1">
      <c r="A158" s="34" t="s">
        <v>107</v>
      </c>
      <c r="B158" s="21">
        <f>(B156*VLOOKUP(B15,'parameter setting'!A2:Z6,5,FALSE))/(0.8*B99)</f>
        <v>7.9687499999999982</v>
      </c>
      <c r="C158" s="35" t="s">
        <v>5</v>
      </c>
    </row>
    <row r="159" spans="1:4" s="35" customFormat="1">
      <c r="A159" s="34" t="s">
        <v>108</v>
      </c>
      <c r="B159" s="24">
        <v>10</v>
      </c>
      <c r="C159" s="35" t="s">
        <v>10</v>
      </c>
      <c r="D159" s="49" t="s">
        <v>175</v>
      </c>
    </row>
    <row r="160" spans="1:4" s="35" customFormat="1">
      <c r="A160" s="34" t="s">
        <v>106</v>
      </c>
      <c r="B160" s="21">
        <f>B159*((0.8*0.8)/VLOOKUP(B15,'parameter setting'!A2:Z6,5,FALSE))</f>
        <v>3.764705882352942</v>
      </c>
      <c r="C160" s="35" t="s">
        <v>11</v>
      </c>
    </row>
    <row r="161" spans="1:3" s="35" customFormat="1">
      <c r="A161" s="45"/>
      <c r="B161" s="34"/>
    </row>
    <row r="162" spans="1:3">
      <c r="A162" s="69" t="s">
        <v>222</v>
      </c>
    </row>
    <row r="163" spans="1:3" ht="21">
      <c r="A163" s="93" t="s">
        <v>119</v>
      </c>
      <c r="B163" s="93"/>
      <c r="C163" s="93"/>
    </row>
    <row r="164" spans="1:3">
      <c r="A164" s="94" t="s">
        <v>120</v>
      </c>
      <c r="B164" s="94"/>
      <c r="C164" s="94"/>
    </row>
    <row r="165" spans="1:3" ht="21" customHeight="1">
      <c r="A165" s="94"/>
      <c r="B165" s="94"/>
      <c r="C165" s="94"/>
    </row>
    <row r="166" spans="1:3">
      <c r="A166" s="69" t="s">
        <v>221</v>
      </c>
    </row>
    <row r="167" spans="1:3">
      <c r="A167" s="70"/>
    </row>
    <row r="168" spans="1:3">
      <c r="A168" s="71" t="s">
        <v>144</v>
      </c>
    </row>
    <row r="169" spans="1:3" ht="31.5">
      <c r="A169" s="72" t="s">
        <v>147</v>
      </c>
    </row>
    <row r="170" spans="1:3">
      <c r="A170" s="73" t="s">
        <v>178</v>
      </c>
    </row>
    <row r="171" spans="1:3">
      <c r="A171" s="70"/>
    </row>
    <row r="172" spans="1:3">
      <c r="A172" s="70"/>
    </row>
  </sheetData>
  <sheetProtection algorithmName="SHA-512" hashValue="bUPcaT8vzN3yqk9xPdnx4k1ZugGAuUg1ZYrcozofy87a7X4Bj/G0f38gf3wxeE9sdCuzTCQ61TY6R8pvYiPQ8w==" saltValue="cIBgJ+GuLUWiibzmtcxj5g==" spinCount="100000" sheet="1" objects="1" scenarios="1"/>
  <dataConsolidate/>
  <mergeCells count="18">
    <mergeCell ref="A1:C1"/>
    <mergeCell ref="A17:C17"/>
    <mergeCell ref="A45:C45"/>
    <mergeCell ref="A32:C32"/>
    <mergeCell ref="A147:C147"/>
    <mergeCell ref="A105:C105"/>
    <mergeCell ref="A69:C69"/>
    <mergeCell ref="A98:C98"/>
    <mergeCell ref="A2:C3"/>
    <mergeCell ref="A53:C53"/>
    <mergeCell ref="A82:C82"/>
    <mergeCell ref="A130:C130"/>
    <mergeCell ref="A83:C86"/>
    <mergeCell ref="D65:D67"/>
    <mergeCell ref="A134:C136"/>
    <mergeCell ref="A163:C163"/>
    <mergeCell ref="A164:C165"/>
    <mergeCell ref="A155:C155"/>
  </mergeCells>
  <phoneticPr fontId="3" type="noConversion"/>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'parameter setting'!$A$2:$A$6</xm:f>
          </x14:formula1>
          <xm:sqref>B15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172"/>
  <sheetViews>
    <sheetView tabSelected="1" topLeftCell="A61" zoomScaleNormal="100" workbookViewId="0">
      <selection activeCell="B15" sqref="B15"/>
    </sheetView>
  </sheetViews>
  <sheetFormatPr defaultRowHeight="15.75"/>
  <cols>
    <col min="1" max="1" width="88.140625" style="45" customWidth="1"/>
    <col min="2" max="2" width="19" style="34" bestFit="1" customWidth="1"/>
    <col min="3" max="3" width="9.140625" style="40"/>
    <col min="4" max="4" width="246.42578125" style="25" customWidth="1"/>
    <col min="5" max="5" width="43.140625" style="25" customWidth="1"/>
    <col min="6" max="6" width="14.5703125" style="25" customWidth="1"/>
    <col min="7" max="7" width="7.7109375" style="25" bestFit="1" customWidth="1"/>
    <col min="8" max="8" width="80" style="25" customWidth="1"/>
    <col min="9" max="16384" width="9.140625" style="25"/>
  </cols>
  <sheetData>
    <row r="1" spans="1:4" ht="21">
      <c r="A1" s="95" t="s">
        <v>216</v>
      </c>
      <c r="B1" s="95"/>
      <c r="C1" s="95"/>
    </row>
    <row r="2" spans="1:4" ht="15.75" customHeight="1">
      <c r="A2" s="96" t="s">
        <v>223</v>
      </c>
      <c r="B2" s="96"/>
      <c r="C2" s="96"/>
    </row>
    <row r="3" spans="1:4">
      <c r="A3" s="96"/>
      <c r="B3" s="96"/>
      <c r="C3" s="96"/>
    </row>
    <row r="4" spans="1:4">
      <c r="A4" s="26"/>
      <c r="B4" s="27"/>
      <c r="C4" s="28"/>
    </row>
    <row r="5" spans="1:4">
      <c r="A5" s="29"/>
      <c r="B5" s="30"/>
      <c r="C5" s="31"/>
    </row>
    <row r="6" spans="1:4">
      <c r="A6" s="29"/>
      <c r="B6" s="30"/>
      <c r="C6" s="31"/>
    </row>
    <row r="7" spans="1:4">
      <c r="A7" s="29"/>
      <c r="B7" s="30"/>
      <c r="C7" s="31"/>
    </row>
    <row r="8" spans="1:4">
      <c r="A8" s="29"/>
      <c r="B8" s="30"/>
      <c r="C8" s="31"/>
    </row>
    <row r="9" spans="1:4">
      <c r="A9" s="29"/>
      <c r="B9" s="30"/>
      <c r="C9" s="31"/>
    </row>
    <row r="10" spans="1:4">
      <c r="A10" s="29"/>
      <c r="B10" s="30"/>
      <c r="C10" s="31"/>
    </row>
    <row r="11" spans="1:4">
      <c r="A11" s="29"/>
      <c r="B11" s="30"/>
      <c r="C11" s="31"/>
    </row>
    <row r="12" spans="1:4">
      <c r="A12" s="29"/>
      <c r="B12" s="30"/>
      <c r="C12" s="31"/>
    </row>
    <row r="13" spans="1:4">
      <c r="A13" s="29"/>
      <c r="B13" s="30"/>
      <c r="C13" s="31"/>
    </row>
    <row r="14" spans="1:4">
      <c r="A14" s="29"/>
      <c r="B14" s="30"/>
      <c r="C14" s="31"/>
    </row>
    <row r="15" spans="1:4" ht="21">
      <c r="A15" s="32" t="s">
        <v>174</v>
      </c>
      <c r="B15" s="24" t="s">
        <v>228</v>
      </c>
      <c r="C15" s="32"/>
      <c r="D15" s="33" t="s">
        <v>224</v>
      </c>
    </row>
    <row r="16" spans="1:4">
      <c r="A16" s="25"/>
      <c r="B16" s="25"/>
      <c r="C16" s="25"/>
    </row>
    <row r="17" spans="1:4" ht="21">
      <c r="A17" s="93" t="s">
        <v>64</v>
      </c>
      <c r="B17" s="93"/>
      <c r="C17" s="93"/>
      <c r="D17" s="34"/>
    </row>
    <row r="18" spans="1:4" s="35" customFormat="1">
      <c r="A18" s="34" t="s">
        <v>75</v>
      </c>
      <c r="B18" s="24">
        <v>12</v>
      </c>
      <c r="C18" s="34" t="s">
        <v>1</v>
      </c>
      <c r="D18" s="79"/>
    </row>
    <row r="19" spans="1:4" s="35" customFormat="1">
      <c r="A19" s="34" t="s">
        <v>68</v>
      </c>
      <c r="B19" s="24">
        <v>42</v>
      </c>
      <c r="C19" s="34" t="s">
        <v>1</v>
      </c>
      <c r="D19" s="33" t="s">
        <v>110</v>
      </c>
    </row>
    <row r="20" spans="1:4" s="35" customFormat="1">
      <c r="A20" s="34" t="s">
        <v>76</v>
      </c>
      <c r="B20" s="24">
        <v>8</v>
      </c>
      <c r="C20" s="34" t="s">
        <v>1</v>
      </c>
      <c r="D20" s="33" t="s">
        <v>111</v>
      </c>
    </row>
    <row r="21" spans="1:4" s="35" customFormat="1">
      <c r="A21" s="34" t="s">
        <v>63</v>
      </c>
      <c r="B21" s="24">
        <v>5</v>
      </c>
      <c r="C21" s="34" t="s">
        <v>1</v>
      </c>
      <c r="D21" s="34"/>
    </row>
    <row r="22" spans="1:4" s="35" customFormat="1">
      <c r="A22" s="34" t="s">
        <v>67</v>
      </c>
      <c r="B22" s="24">
        <v>5</v>
      </c>
      <c r="C22" s="34" t="s">
        <v>6</v>
      </c>
      <c r="D22" s="36"/>
    </row>
    <row r="23" spans="1:4" s="35" customFormat="1">
      <c r="A23" s="37" t="s">
        <v>149</v>
      </c>
      <c r="B23" s="24">
        <v>8</v>
      </c>
      <c r="C23" s="34" t="s">
        <v>50</v>
      </c>
      <c r="D23" s="34"/>
    </row>
    <row r="24" spans="1:4" s="35" customFormat="1">
      <c r="A24" s="37" t="s">
        <v>148</v>
      </c>
      <c r="B24" s="24">
        <v>6</v>
      </c>
      <c r="C24" s="34" t="s">
        <v>50</v>
      </c>
      <c r="D24" s="34"/>
    </row>
    <row r="25" spans="1:4">
      <c r="A25" s="38" t="s">
        <v>65</v>
      </c>
      <c r="B25" s="24">
        <v>1</v>
      </c>
      <c r="C25" s="34" t="s">
        <v>15</v>
      </c>
      <c r="D25" s="36"/>
    </row>
    <row r="26" spans="1:4">
      <c r="A26" s="39" t="s">
        <v>150</v>
      </c>
      <c r="B26" s="21">
        <f>B21*(B25/100)</f>
        <v>0.05</v>
      </c>
      <c r="C26" s="34" t="s">
        <v>50</v>
      </c>
      <c r="D26" s="36"/>
    </row>
    <row r="27" spans="1:4" s="35" customFormat="1">
      <c r="A27" s="37" t="s">
        <v>131</v>
      </c>
      <c r="B27" s="24">
        <v>5</v>
      </c>
      <c r="C27" s="34" t="s">
        <v>6</v>
      </c>
      <c r="D27" s="36"/>
    </row>
    <row r="28" spans="1:4" s="35" customFormat="1">
      <c r="A28" s="37" t="s">
        <v>132</v>
      </c>
      <c r="B28" s="24">
        <v>2.5</v>
      </c>
      <c r="C28" s="34" t="s">
        <v>6</v>
      </c>
      <c r="D28" s="34"/>
    </row>
    <row r="29" spans="1:4" s="35" customFormat="1">
      <c r="A29" s="37" t="s">
        <v>185</v>
      </c>
      <c r="B29" s="24">
        <v>5</v>
      </c>
      <c r="C29" s="34" t="s">
        <v>15</v>
      </c>
      <c r="D29" s="34"/>
    </row>
    <row r="30" spans="1:4" s="35" customFormat="1">
      <c r="A30" s="37" t="s">
        <v>197</v>
      </c>
      <c r="B30" s="21">
        <f>B21*(B29/100)</f>
        <v>0.25</v>
      </c>
      <c r="C30" s="34" t="s">
        <v>50</v>
      </c>
      <c r="D30" s="34"/>
    </row>
    <row r="32" spans="1:4" ht="21">
      <c r="A32" s="93" t="s">
        <v>84</v>
      </c>
      <c r="B32" s="93"/>
      <c r="C32" s="93"/>
    </row>
    <row r="33" spans="1:4">
      <c r="A33" s="34" t="s">
        <v>133</v>
      </c>
      <c r="B33" s="21">
        <f>B21/(B19*VLOOKUP(B15,'parameter setting'!A7:Z15,13,FALSE)*10^-3)</f>
        <v>0.88183421516754856</v>
      </c>
      <c r="C33" s="35" t="s">
        <v>13</v>
      </c>
    </row>
    <row r="34" spans="1:4">
      <c r="A34" s="34" t="s">
        <v>77</v>
      </c>
      <c r="B34" s="24">
        <v>0.1</v>
      </c>
      <c r="C34" s="35" t="s">
        <v>50</v>
      </c>
    </row>
    <row r="35" spans="1:4">
      <c r="A35" s="34" t="s">
        <v>134</v>
      </c>
      <c r="B35" s="21">
        <f>VLOOKUP(B15,'parameter setting'!A7:Z15,14,FALSE)/(B19*VLOOKUP(B15,'parameter setting'!A7:Z15,13,FALSE)*10^-3)</f>
        <v>1.4109347442680775</v>
      </c>
      <c r="C35" s="35" t="s">
        <v>13</v>
      </c>
    </row>
    <row r="36" spans="1:4">
      <c r="A36" s="34" t="s">
        <v>135</v>
      </c>
      <c r="B36" s="24">
        <v>0.4</v>
      </c>
      <c r="C36" s="35" t="s">
        <v>13</v>
      </c>
    </row>
    <row r="37" spans="1:4">
      <c r="A37" s="34" t="s">
        <v>78</v>
      </c>
      <c r="B37" s="21">
        <f>VLOOKUP(B15,'parameter setting'!A7:Z15,17,FALSE)/(B36*1000)^(VLOOKUP(B15,'parameter setting'!A7:Z15,16,FALSE))</f>
        <v>246.7526569338209</v>
      </c>
      <c r="C37" s="40" t="s">
        <v>17</v>
      </c>
    </row>
    <row r="38" spans="1:4">
      <c r="A38" s="34" t="s">
        <v>79</v>
      </c>
      <c r="B38" s="24">
        <v>249</v>
      </c>
      <c r="C38" s="40" t="s">
        <v>17</v>
      </c>
    </row>
    <row r="39" spans="1:4">
      <c r="A39" s="34" t="s">
        <v>136</v>
      </c>
      <c r="B39" s="22">
        <f>VLOOKUP(B15,'parameter setting'!A7:Z15,18,FALSE)/('RTQ294x_design tool'!B38^VLOOKUP(B15,'parameter setting'!A7:Z15,19,FALSE))/1000</f>
        <v>0.39662329798037416</v>
      </c>
      <c r="C39" s="35" t="s">
        <v>13</v>
      </c>
    </row>
    <row r="40" spans="1:4">
      <c r="A40" s="34" t="s">
        <v>80</v>
      </c>
      <c r="B40" s="24">
        <v>0.5</v>
      </c>
      <c r="C40" s="35" t="s">
        <v>50</v>
      </c>
    </row>
    <row r="41" spans="1:4">
      <c r="A41" s="34" t="s">
        <v>81</v>
      </c>
      <c r="B41" s="24">
        <v>0.03</v>
      </c>
      <c r="C41" s="41" t="s">
        <v>70</v>
      </c>
      <c r="D41" s="42"/>
    </row>
    <row r="42" spans="1:4" ht="31.5">
      <c r="A42" s="34" t="s">
        <v>156</v>
      </c>
      <c r="B42" s="21">
        <f>((B21+B22*B41+B40)/(1-(200*10^-9)*(B39*10^6)))+B22*'RTQ294x_design tool'!K2-'RTQ294x_design tool'!B40</f>
        <v>5.6367995340476833</v>
      </c>
      <c r="C42" s="35" t="s">
        <v>50</v>
      </c>
      <c r="D42" s="43" t="s">
        <v>91</v>
      </c>
    </row>
    <row r="43" spans="1:4" ht="16.5">
      <c r="A43" s="34" t="s">
        <v>151</v>
      </c>
      <c r="B43" s="23">
        <f>IF((B21/((B39*10^6)*(VLOOKUP(B15,'parameter setting'!A7:Z15,13,FALSE)*10^-9)))&gt;=VLOOKUP(B15,'parameter setting'!A7:Z15,23,FALSE),VLOOKUP(B15,'parameter setting'!A7:Z15,23,FALSE),B21/((B36*10^6)*(VLOOKUP(B15,'parameter setting'!A7:Z15,13,FALSE)*10^-9)))</f>
        <v>42</v>
      </c>
      <c r="C43" s="35" t="s">
        <v>1</v>
      </c>
      <c r="D43" s="44" t="s">
        <v>143</v>
      </c>
    </row>
    <row r="44" spans="1:4">
      <c r="C44" s="35"/>
      <c r="D44" s="46"/>
    </row>
    <row r="45" spans="1:4" ht="21">
      <c r="A45" s="93" t="s">
        <v>85</v>
      </c>
      <c r="B45" s="93"/>
      <c r="C45" s="93"/>
      <c r="D45" s="78"/>
    </row>
    <row r="46" spans="1:4">
      <c r="A46" s="34" t="s">
        <v>31</v>
      </c>
      <c r="B46" s="24">
        <v>30</v>
      </c>
      <c r="C46" s="40" t="s">
        <v>23</v>
      </c>
      <c r="D46" s="47" t="s">
        <v>190</v>
      </c>
    </row>
    <row r="47" spans="1:4" ht="18" customHeight="1">
      <c r="A47" s="34" t="s">
        <v>121</v>
      </c>
      <c r="B47" s="21">
        <f>((B21*(B18-B21))/(B18*B39*10^6*(B46/100)*VLOOKUP(B15,'parameter setting'!A7:Z15,3,FALSE)))/10^-6</f>
        <v>4.9024967881252905</v>
      </c>
      <c r="C47" s="40" t="s">
        <v>7</v>
      </c>
      <c r="D47" s="48" t="s">
        <v>191</v>
      </c>
    </row>
    <row r="48" spans="1:4" ht="22.5" customHeight="1">
      <c r="A48" s="34" t="s">
        <v>122</v>
      </c>
      <c r="B48" s="21">
        <f>(B21/(VLOOKUP(B15,'parameter setting'!A7:Z15,8,FALSE)*B39*10^6))/10^-6</f>
        <v>3.1516050780805447</v>
      </c>
      <c r="C48" s="40" t="s">
        <v>7</v>
      </c>
      <c r="D48" s="48" t="s">
        <v>192</v>
      </c>
    </row>
    <row r="49" spans="1:4">
      <c r="A49" s="34" t="s">
        <v>123</v>
      </c>
      <c r="B49" s="24">
        <v>6.8</v>
      </c>
      <c r="C49" s="40" t="s">
        <v>7</v>
      </c>
      <c r="D49" s="78"/>
    </row>
    <row r="50" spans="1:4" ht="16.5">
      <c r="A50" s="34" t="s">
        <v>93</v>
      </c>
      <c r="B50" s="21">
        <f>(B21*(B18-B21))/(B18*B39*B49)</f>
        <v>1.0814331150276377</v>
      </c>
      <c r="C50" s="40" t="s">
        <v>6</v>
      </c>
    </row>
    <row r="51" spans="1:4">
      <c r="A51" s="34" t="s">
        <v>92</v>
      </c>
      <c r="B51" s="21">
        <f>B27+(B50/2)</f>
        <v>5.5407165575138189</v>
      </c>
      <c r="C51" s="40" t="s">
        <v>6</v>
      </c>
      <c r="D51" s="49" t="s">
        <v>24</v>
      </c>
    </row>
    <row r="53" spans="1:4" ht="21">
      <c r="A53" s="93" t="s">
        <v>86</v>
      </c>
      <c r="B53" s="93"/>
      <c r="C53" s="93"/>
    </row>
    <row r="54" spans="1:4">
      <c r="A54" s="34" t="s">
        <v>74</v>
      </c>
      <c r="B54" s="21">
        <f>((B22*((B21/B18)*(1-B21/B18)))/(VLOOKUP(B15,'parameter setting'!A7:Z15,22,FALSE)*B39*10^6))/10^-6</f>
        <v>2.3569696096756205</v>
      </c>
      <c r="C54" s="50" t="s">
        <v>2</v>
      </c>
      <c r="D54" s="49" t="s">
        <v>90</v>
      </c>
    </row>
    <row r="55" spans="1:4">
      <c r="A55" s="51" t="s">
        <v>159</v>
      </c>
      <c r="B55" s="52">
        <v>8.8000000000000007</v>
      </c>
      <c r="C55" s="50" t="s">
        <v>2</v>
      </c>
      <c r="D55" s="46"/>
    </row>
    <row r="56" spans="1:4">
      <c r="A56" s="34" t="s">
        <v>137</v>
      </c>
      <c r="B56" s="52">
        <v>30</v>
      </c>
      <c r="C56" s="40" t="s">
        <v>23</v>
      </c>
    </row>
    <row r="57" spans="1:4">
      <c r="A57" s="34" t="s">
        <v>138</v>
      </c>
      <c r="B57" s="52">
        <v>4</v>
      </c>
      <c r="C57" s="40" t="s">
        <v>23</v>
      </c>
    </row>
    <row r="58" spans="1:4">
      <c r="A58" s="34" t="s">
        <v>139</v>
      </c>
      <c r="B58" s="52">
        <v>58</v>
      </c>
      <c r="C58" s="40" t="s">
        <v>23</v>
      </c>
      <c r="D58" s="42"/>
    </row>
    <row r="59" spans="1:4">
      <c r="A59" s="34" t="s">
        <v>155</v>
      </c>
      <c r="B59" s="21">
        <f>(100-B56)/100*B55</f>
        <v>6.16</v>
      </c>
      <c r="C59" s="50" t="s">
        <v>2</v>
      </c>
    </row>
    <row r="60" spans="1:4">
      <c r="A60" s="34" t="s">
        <v>140</v>
      </c>
      <c r="B60" s="21">
        <f>(100-B57)/100*B55</f>
        <v>8.4480000000000004</v>
      </c>
      <c r="C60" s="50" t="s">
        <v>2</v>
      </c>
      <c r="D60" s="40"/>
    </row>
    <row r="61" spans="1:4">
      <c r="A61" s="34" t="s">
        <v>141</v>
      </c>
      <c r="B61" s="21">
        <f>(100-B58)/100*B55</f>
        <v>3.6960000000000002</v>
      </c>
      <c r="C61" s="50" t="s">
        <v>2</v>
      </c>
      <c r="D61" s="42"/>
    </row>
    <row r="62" spans="1:4">
      <c r="A62" s="34" t="s">
        <v>161</v>
      </c>
      <c r="B62" s="21">
        <f>((B22*((B21/B18)*(1-B21/B18)))/(B59*B36*10^6))/10^-6</f>
        <v>0.49321338383838376</v>
      </c>
      <c r="C62" s="40" t="s">
        <v>1</v>
      </c>
      <c r="D62" s="53" t="s">
        <v>182</v>
      </c>
    </row>
    <row r="63" spans="1:4">
      <c r="A63" s="34" t="s">
        <v>162</v>
      </c>
      <c r="B63" s="21">
        <f>((B22*((B21/B18)*(1-B21/B18)))/(B60*B36*10^6))/10^-6</f>
        <v>0.35963475904882147</v>
      </c>
      <c r="C63" s="40" t="s">
        <v>1</v>
      </c>
      <c r="D63" s="53" t="s">
        <v>182</v>
      </c>
    </row>
    <row r="64" spans="1:4">
      <c r="A64" s="34" t="s">
        <v>163</v>
      </c>
      <c r="B64" s="21">
        <f>((B22*((B21/B18)*(1-B21/B18)))/(B61*B36*10^6))/10^-6</f>
        <v>0.82202230639730622</v>
      </c>
      <c r="C64" s="40" t="s">
        <v>1</v>
      </c>
      <c r="D64" s="53" t="s">
        <v>182</v>
      </c>
    </row>
    <row r="65" spans="1:4">
      <c r="A65" s="34" t="s">
        <v>164</v>
      </c>
      <c r="B65" s="21">
        <f>B22*((B21/B18)*(1-(B21/B18))^(1/2))</f>
        <v>1.591172116304111</v>
      </c>
      <c r="C65" s="40" t="s">
        <v>6</v>
      </c>
      <c r="D65" s="91" t="s">
        <v>186</v>
      </c>
    </row>
    <row r="66" spans="1:4">
      <c r="A66" s="34" t="s">
        <v>165</v>
      </c>
      <c r="B66" s="21">
        <f>B22*((B21/B20)*(1-(B21/B20))^(1/2))</f>
        <v>1.9136638615493577</v>
      </c>
      <c r="C66" s="40" t="s">
        <v>6</v>
      </c>
      <c r="D66" s="91"/>
    </row>
    <row r="67" spans="1:4">
      <c r="A67" s="34" t="s">
        <v>166</v>
      </c>
      <c r="B67" s="21">
        <f>B22*SQRT((B21/B19)*(1-(B21/B19)))</f>
        <v>1.6192226796113625</v>
      </c>
      <c r="C67" s="40" t="s">
        <v>6</v>
      </c>
      <c r="D67" s="91"/>
    </row>
    <row r="68" spans="1:4">
      <c r="A68" s="34"/>
    </row>
    <row r="69" spans="1:4" ht="21">
      <c r="A69" s="93" t="s">
        <v>87</v>
      </c>
      <c r="B69" s="93"/>
      <c r="C69" s="93"/>
    </row>
    <row r="70" spans="1:4" s="35" customFormat="1">
      <c r="A70" s="34" t="s">
        <v>113</v>
      </c>
      <c r="B70" s="24">
        <v>6</v>
      </c>
      <c r="C70" s="34" t="s">
        <v>23</v>
      </c>
      <c r="D70" s="54">
        <v>0.08</v>
      </c>
    </row>
    <row r="71" spans="1:4">
      <c r="A71" s="34" t="s">
        <v>19</v>
      </c>
      <c r="B71" s="74">
        <f>(B70/100)*B39</f>
        <v>2.379739787882245E-2</v>
      </c>
      <c r="C71" s="35" t="s">
        <v>13</v>
      </c>
      <c r="D71" s="47" t="s">
        <v>187</v>
      </c>
    </row>
    <row r="72" spans="1:4" s="35" customFormat="1">
      <c r="A72" s="34" t="s">
        <v>114</v>
      </c>
      <c r="B72" s="21">
        <f>((B46*0.01*VLOOKUP(B15,'parameter setting'!A7:Z15,3,FALSE))/(B26*8*B39*10^6))/10^-6</f>
        <v>9.4548152342416323</v>
      </c>
      <c r="C72" s="50" t="s">
        <v>2</v>
      </c>
      <c r="D72" s="55" t="s">
        <v>188</v>
      </c>
    </row>
    <row r="73" spans="1:4" s="35" customFormat="1">
      <c r="A73" s="34" t="s">
        <v>69</v>
      </c>
      <c r="B73" s="21">
        <f>((B27-B28)/(2*3.14*B30*B71*10^6))/10^-6</f>
        <v>66.913058982601783</v>
      </c>
      <c r="C73" s="50" t="s">
        <v>2</v>
      </c>
      <c r="D73" s="55" t="s">
        <v>189</v>
      </c>
    </row>
    <row r="74" spans="1:4" s="40" customFormat="1">
      <c r="A74" s="51" t="s">
        <v>72</v>
      </c>
      <c r="B74" s="56">
        <v>141</v>
      </c>
      <c r="C74" s="50" t="s">
        <v>2</v>
      </c>
      <c r="D74" s="57"/>
    </row>
    <row r="75" spans="1:4" s="40" customFormat="1">
      <c r="A75" s="34" t="s">
        <v>115</v>
      </c>
      <c r="B75" s="58">
        <v>40</v>
      </c>
      <c r="C75" s="50" t="s">
        <v>15</v>
      </c>
    </row>
    <row r="76" spans="1:4">
      <c r="A76" s="34" t="s">
        <v>25</v>
      </c>
      <c r="B76" s="21">
        <f>B74*((100-B75)/100)</f>
        <v>84.6</v>
      </c>
      <c r="C76" s="40" t="s">
        <v>2</v>
      </c>
    </row>
    <row r="77" spans="1:4">
      <c r="A77" s="34" t="s">
        <v>71</v>
      </c>
      <c r="B77" s="22">
        <f>(B26/B50)-(8*B39*10^6*B76)^-1</f>
        <v>4.6234940724982104E-2</v>
      </c>
      <c r="C77" s="50" t="s">
        <v>70</v>
      </c>
    </row>
    <row r="78" spans="1:4">
      <c r="A78" s="34" t="s">
        <v>73</v>
      </c>
      <c r="B78" s="59">
        <v>2E-3</v>
      </c>
      <c r="C78" s="50" t="s">
        <v>70</v>
      </c>
    </row>
    <row r="79" spans="1:4">
      <c r="A79" s="34" t="s">
        <v>184</v>
      </c>
      <c r="B79" s="22">
        <f>B50*(B78+(1/(8*B39*B76)))*1000</f>
        <v>6.1915306472249743</v>
      </c>
      <c r="C79" s="35" t="s">
        <v>157</v>
      </c>
    </row>
    <row r="80" spans="1:4">
      <c r="A80" s="34" t="s">
        <v>183</v>
      </c>
      <c r="B80" s="22">
        <f>((B27-B28)*(B78+(1/(2*3.14*B76*B71)))*1000)</f>
        <v>202.73362583511167</v>
      </c>
      <c r="C80" s="40" t="s">
        <v>168</v>
      </c>
    </row>
    <row r="81" spans="1:3">
      <c r="A81" s="60"/>
      <c r="B81" s="60"/>
    </row>
    <row r="82" spans="1:3" ht="21">
      <c r="A82" s="93" t="s">
        <v>116</v>
      </c>
      <c r="B82" s="93"/>
      <c r="C82" s="93"/>
    </row>
    <row r="83" spans="1:3">
      <c r="A83" s="94" t="s">
        <v>198</v>
      </c>
      <c r="B83" s="94"/>
      <c r="C83" s="94"/>
    </row>
    <row r="84" spans="1:3">
      <c r="A84" s="94"/>
      <c r="B84" s="94"/>
      <c r="C84" s="94"/>
    </row>
    <row r="85" spans="1:3">
      <c r="A85" s="94"/>
      <c r="B85" s="94"/>
      <c r="C85" s="94"/>
    </row>
    <row r="86" spans="1:3" ht="21.75" customHeight="1">
      <c r="A86" s="94"/>
      <c r="B86" s="94"/>
      <c r="C86" s="94"/>
    </row>
    <row r="87" spans="1:3">
      <c r="A87" s="34"/>
    </row>
    <row r="88" spans="1:3">
      <c r="A88" s="34"/>
    </row>
    <row r="89" spans="1:3">
      <c r="A89" s="34"/>
    </row>
    <row r="90" spans="1:3">
      <c r="A90" s="34"/>
    </row>
    <row r="98" spans="1:4" s="40" customFormat="1" ht="21">
      <c r="A98" s="93" t="s">
        <v>180</v>
      </c>
      <c r="B98" s="93"/>
      <c r="C98" s="93"/>
    </row>
    <row r="99" spans="1:4" s="40" customFormat="1">
      <c r="A99" s="34" t="s">
        <v>9</v>
      </c>
      <c r="B99" s="21">
        <v>0.8</v>
      </c>
      <c r="C99" s="40" t="s">
        <v>1</v>
      </c>
    </row>
    <row r="100" spans="1:4" s="40" customFormat="1">
      <c r="A100" s="34" t="s">
        <v>145</v>
      </c>
      <c r="B100" s="24">
        <v>10</v>
      </c>
      <c r="C100" s="35" t="s">
        <v>0</v>
      </c>
      <c r="D100" s="49" t="s">
        <v>55</v>
      </c>
    </row>
    <row r="101" spans="1:4" s="40" customFormat="1">
      <c r="A101" s="34" t="s">
        <v>18</v>
      </c>
      <c r="B101" s="21">
        <f>(B100*(B21-B99))/B99</f>
        <v>52.5</v>
      </c>
      <c r="C101" s="40" t="s">
        <v>0</v>
      </c>
    </row>
    <row r="102" spans="1:4" s="40" customFormat="1">
      <c r="A102" s="34" t="s">
        <v>146</v>
      </c>
      <c r="B102" s="24">
        <v>52.3</v>
      </c>
      <c r="C102" s="35" t="s">
        <v>0</v>
      </c>
    </row>
    <row r="103" spans="1:4">
      <c r="A103" s="34" t="s">
        <v>142</v>
      </c>
      <c r="B103" s="21">
        <f>B99*(1+(B102/B100))</f>
        <v>4.984</v>
      </c>
      <c r="C103" s="40" t="s">
        <v>1</v>
      </c>
    </row>
    <row r="105" spans="1:4" ht="21">
      <c r="A105" s="93" t="s">
        <v>88</v>
      </c>
      <c r="B105" s="93"/>
      <c r="C105" s="93"/>
      <c r="D105" s="61"/>
    </row>
    <row r="106" spans="1:4">
      <c r="A106" s="51" t="s">
        <v>72</v>
      </c>
      <c r="B106" s="21">
        <f>B74</f>
        <v>141</v>
      </c>
      <c r="C106" s="50" t="s">
        <v>2</v>
      </c>
      <c r="D106" s="49" t="s">
        <v>89</v>
      </c>
    </row>
    <row r="107" spans="1:4">
      <c r="A107" s="34" t="s">
        <v>115</v>
      </c>
      <c r="B107" s="21">
        <f>B75</f>
        <v>40</v>
      </c>
      <c r="C107" s="50" t="s">
        <v>15</v>
      </c>
      <c r="D107" s="62"/>
    </row>
    <row r="108" spans="1:4">
      <c r="A108" s="34" t="s">
        <v>25</v>
      </c>
      <c r="B108" s="21">
        <f>B76</f>
        <v>84.6</v>
      </c>
      <c r="C108" s="40" t="s">
        <v>2</v>
      </c>
      <c r="D108" s="62"/>
    </row>
    <row r="109" spans="1:4">
      <c r="A109" s="34" t="s">
        <v>20</v>
      </c>
      <c r="B109" s="21">
        <f>(((2*3.14*(B71*10^6)*((B108)*10^-6))/(VLOOKUP(B15,'parameter setting'!A7:Z15,6,FALSE)*10^-6*VLOOKUP(B15,'parameter setting'!A7:Z15,7,FALSE)))*((B102+B100)/B100))*10^-3</f>
        <v>10.530425680219118</v>
      </c>
      <c r="C109" s="40" t="s">
        <v>0</v>
      </c>
    </row>
    <row r="110" spans="1:4">
      <c r="A110" s="34" t="s">
        <v>16</v>
      </c>
      <c r="B110" s="58">
        <v>10.5</v>
      </c>
      <c r="C110" s="35" t="s">
        <v>0</v>
      </c>
    </row>
    <row r="111" spans="1:4">
      <c r="A111" s="34" t="s">
        <v>3</v>
      </c>
      <c r="B111" s="21">
        <f>B21/B22</f>
        <v>1</v>
      </c>
      <c r="C111" s="40" t="s">
        <v>4</v>
      </c>
    </row>
    <row r="112" spans="1:4">
      <c r="A112" s="34" t="s">
        <v>21</v>
      </c>
      <c r="B112" s="21">
        <f>((B111*(B108)*10^-6)/(B110*10^3))*10^9</f>
        <v>8.0571428571428569</v>
      </c>
      <c r="C112" s="40" t="s">
        <v>5</v>
      </c>
    </row>
    <row r="113" spans="1:4">
      <c r="A113" s="34" t="s">
        <v>22</v>
      </c>
      <c r="B113" s="58">
        <v>8.1999999999999993</v>
      </c>
      <c r="C113" s="35" t="s">
        <v>5</v>
      </c>
    </row>
    <row r="115" spans="1:4" ht="18.75">
      <c r="A115" s="63" t="s">
        <v>194</v>
      </c>
      <c r="C115" s="35"/>
      <c r="D115" s="64"/>
    </row>
    <row r="116" spans="1:4">
      <c r="A116" s="34" t="s">
        <v>73</v>
      </c>
      <c r="B116" s="22">
        <f>B78</f>
        <v>2E-3</v>
      </c>
      <c r="C116" s="41" t="s">
        <v>27</v>
      </c>
    </row>
    <row r="117" spans="1:4">
      <c r="A117" s="34" t="s">
        <v>94</v>
      </c>
      <c r="B117" s="22">
        <f>((B116*B108*10^-6)/(B110*10^3))/10^-9</f>
        <v>1.6114285714285709E-2</v>
      </c>
      <c r="C117" s="40" t="s">
        <v>5</v>
      </c>
    </row>
    <row r="118" spans="1:4">
      <c r="A118" s="34" t="s">
        <v>95</v>
      </c>
      <c r="B118" s="24"/>
      <c r="C118" s="35" t="s">
        <v>5</v>
      </c>
    </row>
    <row r="119" spans="1:4" ht="18.75">
      <c r="A119" s="63" t="s">
        <v>195</v>
      </c>
      <c r="B119" s="65"/>
      <c r="C119" s="66"/>
      <c r="D119" s="67"/>
    </row>
    <row r="120" spans="1:4">
      <c r="A120" s="34" t="s">
        <v>94</v>
      </c>
      <c r="B120" s="21">
        <f>(1/(2*3.14*(B39*10^6*0.5)*B110*10^3))/10^-12</f>
        <v>76.472067408687764</v>
      </c>
      <c r="C120" s="40" t="s">
        <v>12</v>
      </c>
      <c r="D120" s="48" t="s">
        <v>193</v>
      </c>
    </row>
    <row r="121" spans="1:4">
      <c r="A121" s="34" t="s">
        <v>95</v>
      </c>
      <c r="B121" s="24">
        <v>100</v>
      </c>
      <c r="C121" s="35" t="s">
        <v>12</v>
      </c>
      <c r="D121" s="48" t="s">
        <v>227</v>
      </c>
    </row>
    <row r="123" spans="1:4">
      <c r="A123" s="68" t="s">
        <v>117</v>
      </c>
    </row>
    <row r="124" spans="1:4">
      <c r="A124" s="34" t="s">
        <v>16</v>
      </c>
      <c r="B124" s="21">
        <f>B110</f>
        <v>10.5</v>
      </c>
      <c r="C124" s="35" t="s">
        <v>0</v>
      </c>
    </row>
    <row r="125" spans="1:4">
      <c r="A125" s="34" t="s">
        <v>22</v>
      </c>
      <c r="B125" s="21">
        <f>B113</f>
        <v>8.1999999999999993</v>
      </c>
      <c r="C125" s="35" t="s">
        <v>5</v>
      </c>
    </row>
    <row r="126" spans="1:4">
      <c r="A126" s="34" t="s">
        <v>98</v>
      </c>
      <c r="B126" s="21">
        <f>B118</f>
        <v>0</v>
      </c>
      <c r="C126" s="35" t="s">
        <v>5</v>
      </c>
    </row>
    <row r="127" spans="1:4">
      <c r="A127" s="34" t="s">
        <v>99</v>
      </c>
      <c r="B127" s="21">
        <f>B121</f>
        <v>100</v>
      </c>
      <c r="C127" s="35" t="s">
        <v>12</v>
      </c>
    </row>
    <row r="130" spans="1:3" ht="21">
      <c r="A130" s="93" t="s">
        <v>118</v>
      </c>
      <c r="B130" s="93"/>
      <c r="C130" s="93"/>
    </row>
    <row r="131" spans="1:3">
      <c r="A131" s="34" t="s">
        <v>124</v>
      </c>
      <c r="B131" s="21">
        <f>100*(B21/B18)</f>
        <v>41.666666666666671</v>
      </c>
      <c r="C131" s="35" t="s">
        <v>15</v>
      </c>
    </row>
    <row r="132" spans="1:3">
      <c r="A132" s="34" t="s">
        <v>126</v>
      </c>
      <c r="B132" s="21">
        <f>100*(B21/B19)</f>
        <v>11.904761904761903</v>
      </c>
      <c r="C132" s="35" t="s">
        <v>23</v>
      </c>
    </row>
    <row r="133" spans="1:3">
      <c r="A133" s="34" t="s">
        <v>128</v>
      </c>
      <c r="B133" s="21">
        <f>100*(B21/B20)</f>
        <v>62.5</v>
      </c>
      <c r="C133" s="35" t="s">
        <v>23</v>
      </c>
    </row>
    <row r="134" spans="1:3" ht="15.75" customHeight="1">
      <c r="A134" s="92" t="s">
        <v>196</v>
      </c>
      <c r="B134" s="92"/>
      <c r="C134" s="92"/>
    </row>
    <row r="135" spans="1:3">
      <c r="A135" s="92"/>
      <c r="B135" s="92"/>
      <c r="C135" s="92"/>
    </row>
    <row r="136" spans="1:3" ht="23.25" customHeight="1">
      <c r="A136" s="92"/>
      <c r="B136" s="92"/>
      <c r="C136" s="92"/>
    </row>
    <row r="137" spans="1:3">
      <c r="A137" s="34" t="s">
        <v>152</v>
      </c>
      <c r="C137" s="34"/>
    </row>
    <row r="147" spans="1:4" ht="21">
      <c r="A147" s="93" t="s">
        <v>100</v>
      </c>
      <c r="B147" s="93"/>
      <c r="C147" s="93"/>
    </row>
    <row r="148" spans="1:4" s="35" customFormat="1">
      <c r="A148" s="34" t="s">
        <v>101</v>
      </c>
      <c r="B148" s="21">
        <f>(B23-B24)/(VLOOKUP(B15,'parameter setting'!A7:Z15,10,FALSE)*10^-3)</f>
        <v>588.23529411764707</v>
      </c>
      <c r="C148" s="35" t="s">
        <v>0</v>
      </c>
    </row>
    <row r="149" spans="1:4" s="35" customFormat="1">
      <c r="A149" s="34" t="s">
        <v>102</v>
      </c>
      <c r="B149" s="24">
        <v>590</v>
      </c>
      <c r="C149" s="35" t="s">
        <v>0</v>
      </c>
    </row>
    <row r="150" spans="1:4" s="35" customFormat="1">
      <c r="A150" s="34" t="s">
        <v>103</v>
      </c>
      <c r="B150" s="21">
        <f>(VLOOKUP(B15,'parameter setting'!A7:Z15,12,FALSE)/(((B23-VLOOKUP(B15,'parameter setting'!A7:Z15,12,FALSE))/(B149*10^3))+(VLOOKUP(B15,'parameter setting'!A7:Z15,9,FALSE)*10^-6)))*10^-3</f>
        <v>94.299413958444319</v>
      </c>
      <c r="C150" s="35" t="s">
        <v>0</v>
      </c>
    </row>
    <row r="151" spans="1:4" s="35" customFormat="1">
      <c r="A151" s="34" t="s">
        <v>104</v>
      </c>
      <c r="B151" s="24">
        <v>93.1</v>
      </c>
      <c r="C151" s="35" t="s">
        <v>0</v>
      </c>
    </row>
    <row r="152" spans="1:4" s="35" customFormat="1">
      <c r="A152" s="34" t="s">
        <v>153</v>
      </c>
      <c r="B152" s="21">
        <f>(((VLOOKUP(B15,'parameter setting'!A7:Z15,12,FALSE)/('RTQ294x_design tool'!B151*10^3))-(VLOOKUP(B15,'parameter setting'!A7:Z15,9,FALSE)*10^-6))*(B149*10^3))+VLOOKUP(B15,'parameter setting'!A7:Z15,12,FALSE)</f>
        <v>8.096726100966702</v>
      </c>
      <c r="C152" s="35" t="s">
        <v>50</v>
      </c>
    </row>
    <row r="153" spans="1:4" s="35" customFormat="1">
      <c r="A153" s="34" t="s">
        <v>154</v>
      </c>
      <c r="B153" s="21">
        <f>B152-((B149*10^3)*VLOOKUP(B15,'parameter setting'!A7:Z15,10,FALSE)*10^-6)</f>
        <v>6.0907261009667018</v>
      </c>
      <c r="C153" s="35" t="s">
        <v>50</v>
      </c>
    </row>
    <row r="155" spans="1:4" ht="21">
      <c r="A155" s="93" t="s">
        <v>106</v>
      </c>
      <c r="B155" s="93"/>
      <c r="C155" s="93"/>
    </row>
    <row r="156" spans="1:4">
      <c r="A156" s="34" t="s">
        <v>105</v>
      </c>
      <c r="B156" s="24">
        <v>3</v>
      </c>
      <c r="C156" s="40" t="s">
        <v>11</v>
      </c>
    </row>
    <row r="157" spans="1:4">
      <c r="A157" s="34" t="s">
        <v>179</v>
      </c>
      <c r="B157" s="22">
        <f>B76*10^-6*VLOOKUP(B15,'parameter setting'!A7:Z15,5,FALSE)*10^-6*B21/(0.8*VLOOKUP(B15,'parameter setting'!A7:Z15,20,FALSE)-0.5*B50)*10^9</f>
        <v>0.15772215284949997</v>
      </c>
      <c r="C157" s="35" t="s">
        <v>5</v>
      </c>
    </row>
    <row r="158" spans="1:4" s="35" customFormat="1">
      <c r="A158" s="34" t="s">
        <v>107</v>
      </c>
      <c r="B158" s="21">
        <f>(B156*VLOOKUP(B15,'parameter setting'!A7:Z15,5,FALSE))/(0.8*B99)</f>
        <v>7.9687499999999982</v>
      </c>
      <c r="C158" s="35" t="s">
        <v>5</v>
      </c>
    </row>
    <row r="159" spans="1:4" s="35" customFormat="1">
      <c r="A159" s="34" t="s">
        <v>108</v>
      </c>
      <c r="B159" s="24">
        <v>10</v>
      </c>
      <c r="C159" s="35" t="s">
        <v>5</v>
      </c>
      <c r="D159" s="49" t="s">
        <v>175</v>
      </c>
    </row>
    <row r="160" spans="1:4" s="35" customFormat="1">
      <c r="A160" s="34" t="s">
        <v>106</v>
      </c>
      <c r="B160" s="21">
        <f>B159*((0.8*0.8)/VLOOKUP(B15,'parameter setting'!A7:Z15,5,FALSE))</f>
        <v>3.764705882352942</v>
      </c>
      <c r="C160" s="35" t="s">
        <v>11</v>
      </c>
    </row>
    <row r="161" spans="1:3" s="35" customFormat="1">
      <c r="A161" s="45"/>
      <c r="B161" s="34"/>
    </row>
    <row r="162" spans="1:3">
      <c r="A162" s="69" t="s">
        <v>225</v>
      </c>
    </row>
    <row r="163" spans="1:3" ht="21">
      <c r="A163" s="93" t="s">
        <v>119</v>
      </c>
      <c r="B163" s="93"/>
      <c r="C163" s="93"/>
    </row>
    <row r="164" spans="1:3">
      <c r="A164" s="94" t="s">
        <v>120</v>
      </c>
      <c r="B164" s="94"/>
      <c r="C164" s="94"/>
    </row>
    <row r="165" spans="1:3" ht="21" customHeight="1">
      <c r="A165" s="94"/>
      <c r="B165" s="94"/>
      <c r="C165" s="94"/>
    </row>
    <row r="166" spans="1:3">
      <c r="A166" s="69" t="s">
        <v>226</v>
      </c>
    </row>
    <row r="167" spans="1:3">
      <c r="A167" s="70"/>
    </row>
    <row r="168" spans="1:3">
      <c r="A168" s="71" t="s">
        <v>144</v>
      </c>
    </row>
    <row r="169" spans="1:3" ht="31.5">
      <c r="A169" s="72" t="s">
        <v>147</v>
      </c>
    </row>
    <row r="170" spans="1:3">
      <c r="A170" s="73" t="s">
        <v>178</v>
      </c>
    </row>
    <row r="171" spans="1:3">
      <c r="A171" s="70"/>
    </row>
    <row r="172" spans="1:3">
      <c r="A172" s="70"/>
    </row>
  </sheetData>
  <sheetProtection algorithmName="SHA-512" hashValue="R45xfYnqkwvi5Xx9+HqRqHb8aB0RxkoIEC5ymX8vR06s3TUIvaCa9Z2CcSCMVkIr1mI1Mko0+wD1hDCQSdndPA==" saltValue="V0W6HYEqaC4sPMY+tEnaEg==" spinCount="100000" sheet="1" objects="1" scenarios="1"/>
  <mergeCells count="18">
    <mergeCell ref="A53:C53"/>
    <mergeCell ref="A1:C1"/>
    <mergeCell ref="A2:C3"/>
    <mergeCell ref="A17:C17"/>
    <mergeCell ref="A32:C32"/>
    <mergeCell ref="A45:C45"/>
    <mergeCell ref="A164:C165"/>
    <mergeCell ref="D65:D67"/>
    <mergeCell ref="A69:C69"/>
    <mergeCell ref="A82:C82"/>
    <mergeCell ref="A83:C86"/>
    <mergeCell ref="A98:C98"/>
    <mergeCell ref="A105:C105"/>
    <mergeCell ref="A130:C130"/>
    <mergeCell ref="A134:C136"/>
    <mergeCell ref="A147:C147"/>
    <mergeCell ref="A155:C155"/>
    <mergeCell ref="A163:C163"/>
  </mergeCells>
  <phoneticPr fontId="10" type="noConversion"/>
  <conditionalFormatting sqref="B20">
    <cfRule type="expression" dxfId="0" priority="1">
      <formula>"&lt;B42"</formula>
    </cfRule>
  </conditionalFormatting>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'parameter setting'!$A$7:$A$14</xm:f>
          </x14:formula1>
          <xm:sqref>B15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tabColor rgb="FFFFC000"/>
  </sheetPr>
  <dimension ref="A1:W102"/>
  <sheetViews>
    <sheetView topLeftCell="A16" zoomScale="115" zoomScaleNormal="115" workbookViewId="0">
      <pane xSplit="1" topLeftCell="B1" activePane="topRight" state="frozen"/>
      <selection pane="topRight" activeCell="F24" sqref="F24"/>
    </sheetView>
  </sheetViews>
  <sheetFormatPr defaultRowHeight="15.75"/>
  <cols>
    <col min="1" max="1" width="33.7109375" bestFit="1" customWidth="1"/>
    <col min="2" max="2" width="20.42578125" bestFit="1" customWidth="1"/>
    <col min="3" max="3" width="16.85546875" bestFit="1" customWidth="1"/>
    <col min="4" max="4" width="36" bestFit="1" customWidth="1"/>
    <col min="6" max="6" width="10.140625" bestFit="1" customWidth="1"/>
    <col min="7" max="7" width="13.42578125" bestFit="1" customWidth="1"/>
    <col min="10" max="10" width="12.140625" customWidth="1"/>
    <col min="11" max="11" width="17.42578125" bestFit="1" customWidth="1"/>
    <col min="13" max="13" width="19" bestFit="1" customWidth="1"/>
    <col min="14" max="14" width="29.5703125" customWidth="1"/>
    <col min="15" max="15" width="13.42578125" bestFit="1" customWidth="1"/>
    <col min="16" max="16" width="21.42578125" bestFit="1" customWidth="1"/>
    <col min="17" max="17" width="22.7109375" bestFit="1" customWidth="1"/>
    <col min="18" max="18" width="29.7109375" bestFit="1" customWidth="1"/>
    <col min="19" max="19" width="29.28515625" bestFit="1" customWidth="1"/>
    <col min="20" max="20" width="14.28515625" bestFit="1" customWidth="1"/>
    <col min="21" max="21" width="26.140625" bestFit="1" customWidth="1"/>
    <col min="22" max="22" width="51.28515625" bestFit="1" customWidth="1"/>
    <col min="23" max="23" width="15" bestFit="1" customWidth="1"/>
  </cols>
  <sheetData>
    <row r="1" spans="1:23" s="81" customFormat="1" ht="30" customHeight="1">
      <c r="A1" s="14" t="s">
        <v>33</v>
      </c>
      <c r="B1" s="14" t="s">
        <v>32</v>
      </c>
      <c r="C1" s="14" t="s">
        <v>34</v>
      </c>
      <c r="D1" s="14" t="s">
        <v>158</v>
      </c>
      <c r="E1" s="14" t="s">
        <v>53</v>
      </c>
      <c r="F1" s="14" t="s">
        <v>35</v>
      </c>
      <c r="G1" s="14" t="s">
        <v>36</v>
      </c>
      <c r="H1" s="14" t="s">
        <v>45</v>
      </c>
      <c r="I1" s="14" t="s">
        <v>54</v>
      </c>
      <c r="J1" s="14" t="s">
        <v>173</v>
      </c>
      <c r="K1" s="14" t="s">
        <v>83</v>
      </c>
      <c r="L1" s="14" t="s">
        <v>109</v>
      </c>
      <c r="M1" s="14" t="s">
        <v>112</v>
      </c>
      <c r="N1" s="14" t="s">
        <v>129</v>
      </c>
      <c r="O1" s="14" t="s">
        <v>130</v>
      </c>
      <c r="P1" s="14" t="s">
        <v>169</v>
      </c>
      <c r="Q1" s="80" t="s">
        <v>172</v>
      </c>
      <c r="R1" s="18" t="s">
        <v>171</v>
      </c>
      <c r="S1" s="18" t="s">
        <v>170</v>
      </c>
      <c r="T1" s="18" t="s">
        <v>176</v>
      </c>
      <c r="U1" s="18" t="s">
        <v>177</v>
      </c>
      <c r="V1" s="18" t="s">
        <v>181</v>
      </c>
      <c r="W1" s="18" t="s">
        <v>199</v>
      </c>
    </row>
    <row r="2" spans="1:23" s="16" customFormat="1">
      <c r="A2" s="15" t="s">
        <v>206</v>
      </c>
      <c r="B2" s="15">
        <v>0.3</v>
      </c>
      <c r="C2" s="15">
        <v>0.5</v>
      </c>
      <c r="D2" s="15">
        <f>B2*C2</f>
        <v>0.15</v>
      </c>
      <c r="E2" s="15">
        <v>2</v>
      </c>
      <c r="F2" s="15">
        <v>97</v>
      </c>
      <c r="G2" s="15">
        <v>2</v>
      </c>
      <c r="H2" s="15">
        <v>0.5</v>
      </c>
      <c r="I2" s="15">
        <v>0.9</v>
      </c>
      <c r="J2" s="15">
        <v>2.9</v>
      </c>
      <c r="K2" s="15">
        <f>340*10^-3</f>
        <v>0.34</v>
      </c>
      <c r="L2" s="15">
        <v>1.25</v>
      </c>
      <c r="M2" s="15">
        <v>130</v>
      </c>
      <c r="N2" s="15">
        <f>IF(O6&gt;=0.6,1,IF(O6&gt;=0.4,(2),IF(O6&gt;=0.2,(4),IF(O6&lt;0.2,(8)))))</f>
        <v>8</v>
      </c>
      <c r="O2" s="15">
        <f>'RTQ296x_design tool'!B34/(1+('RTQ296x_design tool'!B102/'RTQ296x_design tool'!B100))</f>
        <v>1.605136436597111E-2</v>
      </c>
      <c r="P2" s="15">
        <v>1.03</v>
      </c>
      <c r="Q2" s="15">
        <v>140398</v>
      </c>
      <c r="R2" s="15">
        <v>99478</v>
      </c>
      <c r="S2" s="15">
        <v>0.97099999999999997</v>
      </c>
      <c r="T2" s="15">
        <v>0.72</v>
      </c>
      <c r="U2" s="15">
        <f t="shared" ref="U2:U14" si="0">1.4*10^-3</f>
        <v>1.4E-3</v>
      </c>
      <c r="V2" s="15">
        <v>1.3</v>
      </c>
      <c r="W2" s="15">
        <v>60</v>
      </c>
    </row>
    <row r="3" spans="1:23" s="16" customFormat="1">
      <c r="A3" s="15" t="s">
        <v>207</v>
      </c>
      <c r="B3" s="15">
        <v>0.3</v>
      </c>
      <c r="C3" s="15">
        <v>1.5</v>
      </c>
      <c r="D3" s="15">
        <f>B3*C3</f>
        <v>0.44999999999999996</v>
      </c>
      <c r="E3" s="15">
        <v>2</v>
      </c>
      <c r="F3" s="15">
        <v>97</v>
      </c>
      <c r="G3" s="15">
        <v>6</v>
      </c>
      <c r="H3" s="15">
        <v>1.3</v>
      </c>
      <c r="I3" s="15">
        <v>0.9</v>
      </c>
      <c r="J3" s="15">
        <v>2.9</v>
      </c>
      <c r="K3" s="15">
        <f>320*10^-3</f>
        <v>0.32</v>
      </c>
      <c r="L3" s="15">
        <v>1.25</v>
      </c>
      <c r="M3" s="15">
        <v>130</v>
      </c>
      <c r="N3" s="15">
        <f>IF(O6&gt;=0.6,1,IF(O6&gt;=0.4,(2),IF(O6&gt;=0.2,(4),IF(O6&lt;0.2,(8)))))</f>
        <v>8</v>
      </c>
      <c r="O3" s="15">
        <f>'RTQ296x_design tool'!B34/(1+('RTQ296x_design tool'!B102/'RTQ296x_design tool'!B100))</f>
        <v>1.605136436597111E-2</v>
      </c>
      <c r="P3" s="15">
        <v>1.03</v>
      </c>
      <c r="Q3" s="15">
        <v>140398</v>
      </c>
      <c r="R3" s="15">
        <v>99478</v>
      </c>
      <c r="S3" s="15">
        <v>0.97099999999999997</v>
      </c>
      <c r="T3" s="15">
        <v>2.2949999999999999</v>
      </c>
      <c r="U3" s="15">
        <f t="shared" si="0"/>
        <v>1.4E-3</v>
      </c>
      <c r="V3" s="15">
        <v>1.3</v>
      </c>
      <c r="W3" s="15">
        <v>60</v>
      </c>
    </row>
    <row r="4" spans="1:23" s="16" customFormat="1">
      <c r="A4" s="15" t="s">
        <v>208</v>
      </c>
      <c r="B4" s="15">
        <v>0.3</v>
      </c>
      <c r="C4" s="15">
        <v>2.5</v>
      </c>
      <c r="D4" s="15">
        <f t="shared" ref="D4" si="1">B4*C4</f>
        <v>0.75</v>
      </c>
      <c r="E4" s="15">
        <v>2</v>
      </c>
      <c r="F4" s="15">
        <v>310</v>
      </c>
      <c r="G4" s="15">
        <v>10</v>
      </c>
      <c r="H4" s="15">
        <v>2.1</v>
      </c>
      <c r="I4" s="15">
        <v>0.9</v>
      </c>
      <c r="J4" s="15">
        <v>2.9</v>
      </c>
      <c r="K4" s="15">
        <f>300*10^-3</f>
        <v>0.3</v>
      </c>
      <c r="L4" s="15">
        <v>1.25</v>
      </c>
      <c r="M4" s="15">
        <v>130</v>
      </c>
      <c r="N4" s="15">
        <f>IF(O6&gt;=0.6,1,IF(O6&gt;=0.4,(2),IF(O6&gt;=0.2,(4),IF(O6&lt;0.2,(8)))))</f>
        <v>8</v>
      </c>
      <c r="O4" s="15">
        <f>'RTQ296x_design tool'!B34/(1+('RTQ296x_design tool'!B102/'RTQ296x_design tool'!B100))</f>
        <v>1.605136436597111E-2</v>
      </c>
      <c r="P4" s="15">
        <v>1.03</v>
      </c>
      <c r="Q4" s="15">
        <v>140398</v>
      </c>
      <c r="R4" s="15">
        <v>99478</v>
      </c>
      <c r="S4" s="15">
        <v>0.97099999999999997</v>
      </c>
      <c r="T4" s="15">
        <v>3.8250000000000002</v>
      </c>
      <c r="U4" s="15">
        <f t="shared" si="0"/>
        <v>1.4E-3</v>
      </c>
      <c r="V4" s="15">
        <v>1.3</v>
      </c>
      <c r="W4" s="15">
        <v>60</v>
      </c>
    </row>
    <row r="5" spans="1:23" s="8" customFormat="1" ht="16.5">
      <c r="A5" s="13" t="s">
        <v>209</v>
      </c>
      <c r="B5" s="13">
        <v>0.3</v>
      </c>
      <c r="C5" s="13">
        <v>3.5</v>
      </c>
      <c r="D5" s="13">
        <f>B5*C5</f>
        <v>1.05</v>
      </c>
      <c r="E5" s="13">
        <v>1.7</v>
      </c>
      <c r="F5" s="13">
        <v>440</v>
      </c>
      <c r="G5" s="13">
        <v>12</v>
      </c>
      <c r="H5" s="13">
        <v>2.9</v>
      </c>
      <c r="I5" s="13">
        <v>1.2</v>
      </c>
      <c r="J5" s="13">
        <v>3.4</v>
      </c>
      <c r="K5" s="13">
        <f>160*10^-3</f>
        <v>0.16</v>
      </c>
      <c r="L5" s="13">
        <v>1.2</v>
      </c>
      <c r="M5" s="13">
        <v>135</v>
      </c>
      <c r="N5" s="13">
        <f>IF(O6&gt;=0.6,1,IF(O6&gt;=0.4,(2),IF(O6&gt;=0.2,(4),IF(O6&lt;0.2,(8)))))</f>
        <v>8</v>
      </c>
      <c r="O5" s="13">
        <f>'RTQ296x_design tool'!B34/(1+('RTQ296x_design tool'!B102/'RTQ296x_design tool'!B100))</f>
        <v>1.605136436597111E-2</v>
      </c>
      <c r="P5" s="13">
        <v>1.0329999999999999</v>
      </c>
      <c r="Q5" s="13">
        <v>120279</v>
      </c>
      <c r="R5" s="17">
        <v>82775</v>
      </c>
      <c r="S5" s="13">
        <v>0.96799999999999997</v>
      </c>
      <c r="T5" s="13">
        <v>4.6749999999999998</v>
      </c>
      <c r="U5" s="13">
        <f t="shared" si="0"/>
        <v>1.4E-3</v>
      </c>
      <c r="V5" s="13">
        <v>1.3</v>
      </c>
      <c r="W5" s="13">
        <v>60</v>
      </c>
    </row>
    <row r="6" spans="1:23" s="8" customFormat="1" ht="16.5">
      <c r="A6" s="13" t="s">
        <v>210</v>
      </c>
      <c r="B6" s="13">
        <v>0.3</v>
      </c>
      <c r="C6" s="13">
        <v>5</v>
      </c>
      <c r="D6" s="13">
        <f>B6*C6</f>
        <v>1.5</v>
      </c>
      <c r="E6" s="13">
        <v>1.7</v>
      </c>
      <c r="F6" s="13">
        <v>440</v>
      </c>
      <c r="G6" s="13">
        <v>17</v>
      </c>
      <c r="H6" s="13">
        <v>4</v>
      </c>
      <c r="I6" s="13">
        <v>1.2</v>
      </c>
      <c r="J6" s="13">
        <v>3.4</v>
      </c>
      <c r="K6" s="13">
        <f>150*10^-3</f>
        <v>0.15</v>
      </c>
      <c r="L6" s="13">
        <v>1.2</v>
      </c>
      <c r="M6" s="13">
        <v>135</v>
      </c>
      <c r="N6" s="13">
        <f>IF(O6&gt;=0.6,1,IF(O6&gt;=0.4,(2),IF(O6&gt;=0.2,(4),IF(O6&lt;0.2,(8)))))</f>
        <v>8</v>
      </c>
      <c r="O6" s="13">
        <f>'RTQ296x_design tool'!B34/(1+('RTQ296x_design tool'!B102/'RTQ296x_design tool'!B100))</f>
        <v>1.605136436597111E-2</v>
      </c>
      <c r="P6" s="13">
        <v>1.0329999999999999</v>
      </c>
      <c r="Q6" s="13">
        <v>120279</v>
      </c>
      <c r="R6" s="17">
        <v>82775</v>
      </c>
      <c r="S6" s="13">
        <v>0.96799999999999997</v>
      </c>
      <c r="T6" s="13">
        <v>6.375</v>
      </c>
      <c r="U6" s="13">
        <f t="shared" si="0"/>
        <v>1.4E-3</v>
      </c>
      <c r="V6" s="13">
        <v>1.3</v>
      </c>
      <c r="W6" s="13">
        <v>60</v>
      </c>
    </row>
    <row r="7" spans="1:23" s="20" customFormat="1">
      <c r="A7" s="19" t="s">
        <v>211</v>
      </c>
      <c r="B7" s="19">
        <v>0.3</v>
      </c>
      <c r="C7" s="19">
        <v>0.5</v>
      </c>
      <c r="D7" s="19">
        <f>B7*C7</f>
        <v>0.15</v>
      </c>
      <c r="E7" s="19">
        <v>2</v>
      </c>
      <c r="F7" s="19">
        <v>97</v>
      </c>
      <c r="G7" s="19">
        <v>2</v>
      </c>
      <c r="H7" s="19">
        <v>0.5</v>
      </c>
      <c r="I7" s="19">
        <v>0.9</v>
      </c>
      <c r="J7" s="19">
        <v>2.9</v>
      </c>
      <c r="K7" s="19">
        <f>340*10^-3</f>
        <v>0.34</v>
      </c>
      <c r="L7" s="19">
        <v>1.25</v>
      </c>
      <c r="M7" s="19">
        <v>130</v>
      </c>
      <c r="N7" s="19">
        <f>IF(O11&gt;=0.6,1,IF(O11&gt;=0.4,(2),IF(O11&gt;=0.2,(4),IF(O11&lt;0.2,(8)))))</f>
        <v>8</v>
      </c>
      <c r="O7" s="19">
        <f>'RTQ296x_design tool'!B34/(1+('RTQ296x_design tool'!B102/'RTQ296x_design tool'!B100))</f>
        <v>1.605136436597111E-2</v>
      </c>
      <c r="P7" s="19">
        <v>1.03</v>
      </c>
      <c r="Q7" s="19">
        <v>140398</v>
      </c>
      <c r="R7" s="19">
        <v>99478</v>
      </c>
      <c r="S7" s="19">
        <v>0.97099999999999997</v>
      </c>
      <c r="T7" s="19">
        <v>0.72</v>
      </c>
      <c r="U7" s="19">
        <f t="shared" si="0"/>
        <v>1.4E-3</v>
      </c>
      <c r="V7" s="19">
        <v>1.3</v>
      </c>
      <c r="W7" s="19">
        <v>42</v>
      </c>
    </row>
    <row r="8" spans="1:23" s="20" customFormat="1">
      <c r="A8" s="19" t="s">
        <v>212</v>
      </c>
      <c r="B8" s="19">
        <v>0.3</v>
      </c>
      <c r="C8" s="19">
        <v>1.5</v>
      </c>
      <c r="D8" s="19">
        <f>B8*C8</f>
        <v>0.44999999999999996</v>
      </c>
      <c r="E8" s="19">
        <v>2</v>
      </c>
      <c r="F8" s="19">
        <v>97</v>
      </c>
      <c r="G8" s="19">
        <v>6</v>
      </c>
      <c r="H8" s="19">
        <v>1.3</v>
      </c>
      <c r="I8" s="19">
        <v>0.9</v>
      </c>
      <c r="J8" s="19">
        <v>2.9</v>
      </c>
      <c r="K8" s="19">
        <f>320*10^-3</f>
        <v>0.32</v>
      </c>
      <c r="L8" s="19">
        <v>1.25</v>
      </c>
      <c r="M8" s="19">
        <v>130</v>
      </c>
      <c r="N8" s="19">
        <f>IF(O11&gt;=0.6,1,IF(O11&gt;=0.4,(2),IF(O11&gt;=0.2,(4),IF(O11&lt;0.2,(8)))))</f>
        <v>8</v>
      </c>
      <c r="O8" s="19">
        <f>'RTQ296x_design tool'!B34/(1+('RTQ296x_design tool'!B102/'RTQ296x_design tool'!B100))</f>
        <v>1.605136436597111E-2</v>
      </c>
      <c r="P8" s="19">
        <v>1.03</v>
      </c>
      <c r="Q8" s="19">
        <v>140398</v>
      </c>
      <c r="R8" s="19">
        <v>99478</v>
      </c>
      <c r="S8" s="19">
        <v>0.97099999999999997</v>
      </c>
      <c r="T8" s="19">
        <v>2.2949999999999999</v>
      </c>
      <c r="U8" s="19">
        <f t="shared" si="0"/>
        <v>1.4E-3</v>
      </c>
      <c r="V8" s="19">
        <v>1.3</v>
      </c>
      <c r="W8" s="19">
        <v>42</v>
      </c>
    </row>
    <row r="9" spans="1:23" s="20" customFormat="1">
      <c r="A9" s="19" t="s">
        <v>215</v>
      </c>
      <c r="B9" s="19">
        <v>0.3</v>
      </c>
      <c r="C9" s="19">
        <v>2.5</v>
      </c>
      <c r="D9" s="19">
        <f t="shared" ref="D9" si="2">B9*C9</f>
        <v>0.75</v>
      </c>
      <c r="E9" s="19">
        <v>2</v>
      </c>
      <c r="F9" s="19">
        <v>310</v>
      </c>
      <c r="G9" s="19">
        <v>10</v>
      </c>
      <c r="H9" s="19">
        <v>2.1</v>
      </c>
      <c r="I9" s="19">
        <v>0.9</v>
      </c>
      <c r="J9" s="19">
        <v>2.9</v>
      </c>
      <c r="K9" s="19">
        <f>300*10^-3</f>
        <v>0.3</v>
      </c>
      <c r="L9" s="19">
        <v>1.25</v>
      </c>
      <c r="M9" s="19">
        <v>130</v>
      </c>
      <c r="N9" s="19">
        <f>IF(O11&gt;=0.6,1,IF(O11&gt;=0.4,(2),IF(O11&gt;=0.2,(4),IF(O11&lt;0.2,(8)))))</f>
        <v>8</v>
      </c>
      <c r="O9" s="19">
        <f>'RTQ296x_design tool'!B34/(1+('RTQ296x_design tool'!B102/'RTQ296x_design tool'!B100))</f>
        <v>1.605136436597111E-2</v>
      </c>
      <c r="P9" s="19">
        <v>1.03</v>
      </c>
      <c r="Q9" s="19">
        <v>140398</v>
      </c>
      <c r="R9" s="19">
        <v>99478</v>
      </c>
      <c r="S9" s="19">
        <v>0.97099999999999997</v>
      </c>
      <c r="T9" s="19">
        <v>3.8250000000000002</v>
      </c>
      <c r="U9" s="19">
        <f t="shared" si="0"/>
        <v>1.4E-3</v>
      </c>
      <c r="V9" s="19">
        <v>1.3</v>
      </c>
      <c r="W9" s="19">
        <v>42</v>
      </c>
    </row>
    <row r="10" spans="1:23" s="77" customFormat="1" ht="16.5">
      <c r="A10" s="75" t="s">
        <v>213</v>
      </c>
      <c r="B10" s="75">
        <v>0.3</v>
      </c>
      <c r="C10" s="75">
        <v>3.5</v>
      </c>
      <c r="D10" s="75">
        <f>B10*C10</f>
        <v>1.05</v>
      </c>
      <c r="E10" s="75">
        <v>1.7</v>
      </c>
      <c r="F10" s="75">
        <v>440</v>
      </c>
      <c r="G10" s="75">
        <v>12</v>
      </c>
      <c r="H10" s="75">
        <v>2.9</v>
      </c>
      <c r="I10" s="75">
        <v>1.2</v>
      </c>
      <c r="J10" s="75">
        <v>3.4</v>
      </c>
      <c r="K10" s="75">
        <f>160*10^-3</f>
        <v>0.16</v>
      </c>
      <c r="L10" s="75">
        <v>1.2</v>
      </c>
      <c r="M10" s="75">
        <v>135</v>
      </c>
      <c r="N10" s="75">
        <f>IF(O11&gt;=0.6,1,IF(O11&gt;=0.4,(2),IF(O11&gt;=0.2,(4),IF(O11&lt;0.2,(8)))))</f>
        <v>8</v>
      </c>
      <c r="O10" s="75">
        <f>'RTQ296x_design tool'!B34/(1+('RTQ296x_design tool'!B102/'RTQ296x_design tool'!B100))</f>
        <v>1.605136436597111E-2</v>
      </c>
      <c r="P10" s="75">
        <v>1.0329999999999999</v>
      </c>
      <c r="Q10" s="75">
        <v>120279</v>
      </c>
      <c r="R10" s="76">
        <v>82775</v>
      </c>
      <c r="S10" s="75">
        <v>0.96799999999999997</v>
      </c>
      <c r="T10" s="75">
        <v>4.6749999999999998</v>
      </c>
      <c r="U10" s="75">
        <f t="shared" si="0"/>
        <v>1.4E-3</v>
      </c>
      <c r="V10" s="75">
        <v>1.3</v>
      </c>
      <c r="W10" s="75">
        <v>42</v>
      </c>
    </row>
    <row r="11" spans="1:23" s="77" customFormat="1" ht="16.5">
      <c r="A11" s="75" t="s">
        <v>214</v>
      </c>
      <c r="B11" s="75">
        <v>0.3</v>
      </c>
      <c r="C11" s="75">
        <v>5</v>
      </c>
      <c r="D11" s="75">
        <f>B11*C11</f>
        <v>1.5</v>
      </c>
      <c r="E11" s="75">
        <v>1.7</v>
      </c>
      <c r="F11" s="75">
        <v>440</v>
      </c>
      <c r="G11" s="75">
        <v>17</v>
      </c>
      <c r="H11" s="75">
        <v>4</v>
      </c>
      <c r="I11" s="75">
        <v>1.2</v>
      </c>
      <c r="J11" s="75">
        <v>3.4</v>
      </c>
      <c r="K11" s="75">
        <f>150*10^-3</f>
        <v>0.15</v>
      </c>
      <c r="L11" s="75">
        <v>1.2</v>
      </c>
      <c r="M11" s="75">
        <v>135</v>
      </c>
      <c r="N11" s="75">
        <f>IF(O11&gt;=0.6,1,IF(O11&gt;=0.4,(2),IF(O11&gt;=0.2,(4),IF(O11&lt;0.2,(8)))))</f>
        <v>8</v>
      </c>
      <c r="O11" s="75">
        <f>'RTQ296x_design tool'!B34/(1+('RTQ296x_design tool'!B102/'RTQ296x_design tool'!B100))</f>
        <v>1.605136436597111E-2</v>
      </c>
      <c r="P11" s="75">
        <v>1.0329999999999999</v>
      </c>
      <c r="Q11" s="75">
        <v>120279</v>
      </c>
      <c r="R11" s="76">
        <v>82775</v>
      </c>
      <c r="S11" s="75">
        <v>0.96799999999999997</v>
      </c>
      <c r="T11" s="75">
        <v>6.375</v>
      </c>
      <c r="U11" s="75">
        <f t="shared" si="0"/>
        <v>1.4E-3</v>
      </c>
      <c r="V11" s="75">
        <v>1.3</v>
      </c>
      <c r="W11" s="75">
        <v>42</v>
      </c>
    </row>
    <row r="12" spans="1:23" s="77" customFormat="1" ht="16.5">
      <c r="A12" s="75" t="s">
        <v>219</v>
      </c>
      <c r="B12" s="75">
        <v>0.3</v>
      </c>
      <c r="C12" s="75">
        <v>5</v>
      </c>
      <c r="D12" s="75">
        <f>B12*C12</f>
        <v>1.5</v>
      </c>
      <c r="E12" s="75">
        <v>1.7</v>
      </c>
      <c r="F12" s="75">
        <v>440</v>
      </c>
      <c r="G12" s="75">
        <v>17</v>
      </c>
      <c r="H12" s="75">
        <v>4</v>
      </c>
      <c r="I12" s="75">
        <v>1.2</v>
      </c>
      <c r="J12" s="75">
        <v>3.4</v>
      </c>
      <c r="K12" s="75">
        <f>150*10^-3</f>
        <v>0.15</v>
      </c>
      <c r="L12" s="75">
        <v>1.2</v>
      </c>
      <c r="M12" s="75">
        <v>80</v>
      </c>
      <c r="N12" s="75">
        <f>IF(O11&gt;=0.6,1,IF(O11&gt;=0.4,(2),IF(O11&gt;=0.2,(4),IF(O11&lt;0.2,(8)))))</f>
        <v>8</v>
      </c>
      <c r="O12" s="75">
        <f>'RTQ296x_design tool'!B34/(1+('RTQ296x_design tool'!B102/'RTQ296x_design tool'!B100))</f>
        <v>1.605136436597111E-2</v>
      </c>
      <c r="P12" s="75">
        <v>1.0329999999999999</v>
      </c>
      <c r="Q12" s="75">
        <v>120279</v>
      </c>
      <c r="R12" s="76">
        <v>82775</v>
      </c>
      <c r="S12" s="75">
        <v>0.96799999999999997</v>
      </c>
      <c r="T12" s="75">
        <v>6.375</v>
      </c>
      <c r="U12" s="75">
        <f t="shared" si="0"/>
        <v>1.4E-3</v>
      </c>
      <c r="V12" s="75">
        <v>1.3</v>
      </c>
      <c r="W12" s="75">
        <v>42</v>
      </c>
    </row>
    <row r="13" spans="1:23" s="20" customFormat="1">
      <c r="A13" s="19" t="s">
        <v>218</v>
      </c>
      <c r="B13" s="19">
        <v>0.3</v>
      </c>
      <c r="C13" s="19">
        <v>3</v>
      </c>
      <c r="D13" s="19">
        <f t="shared" ref="D13:D14" si="3">B13*C13</f>
        <v>0.89999999999999991</v>
      </c>
      <c r="E13" s="19">
        <v>2</v>
      </c>
      <c r="F13" s="19">
        <v>310</v>
      </c>
      <c r="G13" s="19">
        <v>10</v>
      </c>
      <c r="H13" s="19">
        <v>2.1</v>
      </c>
      <c r="I13" s="19">
        <v>0.9</v>
      </c>
      <c r="J13" s="19">
        <v>2.9</v>
      </c>
      <c r="K13" s="19">
        <f>300*10^-3</f>
        <v>0.3</v>
      </c>
      <c r="L13" s="19">
        <v>1.25</v>
      </c>
      <c r="M13" s="19">
        <v>130</v>
      </c>
      <c r="N13" s="19">
        <f>IF(O11&gt;=0.6,1,IF(O11&gt;=0.4,(2),IF(O11&gt;=0.2,(4),IF(O11&lt;0.2,(8)))))</f>
        <v>8</v>
      </c>
      <c r="O13" s="19">
        <f>'RTQ296x_design tool'!B34/(1+('RTQ296x_design tool'!B102/'RTQ296x_design tool'!B100))</f>
        <v>1.605136436597111E-2</v>
      </c>
      <c r="P13" s="19">
        <v>1.03</v>
      </c>
      <c r="Q13" s="19">
        <v>140398</v>
      </c>
      <c r="R13" s="19">
        <v>99478</v>
      </c>
      <c r="S13" s="19">
        <v>0.97099999999999997</v>
      </c>
      <c r="T13" s="19">
        <v>3.8250000000000002</v>
      </c>
      <c r="U13" s="19">
        <f t="shared" si="0"/>
        <v>1.4E-3</v>
      </c>
      <c r="V13" s="19">
        <v>1.3</v>
      </c>
      <c r="W13" s="19">
        <v>42</v>
      </c>
    </row>
    <row r="14" spans="1:23" s="20" customFormat="1">
      <c r="A14" s="19" t="s">
        <v>217</v>
      </c>
      <c r="B14" s="19">
        <v>0.3</v>
      </c>
      <c r="C14" s="19">
        <v>3</v>
      </c>
      <c r="D14" s="19">
        <f t="shared" si="3"/>
        <v>0.89999999999999991</v>
      </c>
      <c r="E14" s="19">
        <v>2</v>
      </c>
      <c r="F14" s="19">
        <v>310</v>
      </c>
      <c r="G14" s="19">
        <v>10</v>
      </c>
      <c r="H14" s="19">
        <v>2.1</v>
      </c>
      <c r="I14" s="19">
        <v>0.9</v>
      </c>
      <c r="J14" s="19">
        <v>2.9</v>
      </c>
      <c r="K14" s="19">
        <f>300*10^-3</f>
        <v>0.3</v>
      </c>
      <c r="L14" s="19">
        <v>1.25</v>
      </c>
      <c r="M14" s="19">
        <v>80</v>
      </c>
      <c r="N14" s="19">
        <f>IF(O11&gt;=0.6,1,IF(O11&gt;=0.4,(2),IF(O11&gt;=0.2,(4),IF(O11&lt;0.2,(8)))))</f>
        <v>8</v>
      </c>
      <c r="O14" s="19">
        <f>'RTQ296x_design tool'!B34/(1+('RTQ296x_design tool'!B102/'RTQ296x_design tool'!B100))</f>
        <v>1.605136436597111E-2</v>
      </c>
      <c r="P14" s="19">
        <v>1.03</v>
      </c>
      <c r="Q14" s="19">
        <v>140398</v>
      </c>
      <c r="R14" s="19">
        <v>99478</v>
      </c>
      <c r="S14" s="19">
        <v>0.97099999999999997</v>
      </c>
      <c r="T14" s="19">
        <v>3.8250000000000002</v>
      </c>
      <c r="U14" s="19">
        <f t="shared" si="0"/>
        <v>1.4E-3</v>
      </c>
      <c r="V14" s="19">
        <v>1.3</v>
      </c>
      <c r="W14" s="19">
        <v>42</v>
      </c>
    </row>
    <row r="102" spans="2:2">
      <c r="B102" t="e">
        <f>('parameter setting'!L/(((B20-1.2)/(B101*10^3))+('parameter setting'!I6*10^-6)))*10^-3</f>
        <v>#NAME?</v>
      </c>
    </row>
  </sheetData>
  <sheetProtection selectLockedCells="1" selectUnlockedCells="1"/>
  <phoneticPr fontId="10" type="noConversion"/>
  <pageMargins left="0.7" right="0.7" top="0.75" bottom="0.75" header="0.3" footer="0.3"/>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dimension ref="A1:R13"/>
  <sheetViews>
    <sheetView workbookViewId="0">
      <selection activeCell="Q30" sqref="Q30"/>
    </sheetView>
  </sheetViews>
  <sheetFormatPr defaultRowHeight="15.75"/>
  <sheetData>
    <row r="1" spans="1:18" ht="16.5">
      <c r="A1" s="2" t="s">
        <v>37</v>
      </c>
    </row>
    <row r="2" spans="1:18" ht="16.5">
      <c r="A2" s="2" t="s">
        <v>38</v>
      </c>
    </row>
    <row r="5" spans="1:18" ht="16.5">
      <c r="A5" s="3" t="s">
        <v>39</v>
      </c>
    </row>
    <row r="6" spans="1:18" ht="16.5">
      <c r="A6" s="4" t="s">
        <v>40</v>
      </c>
    </row>
    <row r="7" spans="1:18" ht="16.5">
      <c r="A7" s="4" t="s">
        <v>41</v>
      </c>
    </row>
    <row r="9" spans="1:18">
      <c r="A9" s="3"/>
    </row>
    <row r="10" spans="1:18">
      <c r="O10">
        <f>(6.8*10^-6)/(12-5)</f>
        <v>9.7142857142857126E-7</v>
      </c>
      <c r="R10">
        <f>4/17</f>
        <v>0.23529411764705882</v>
      </c>
    </row>
    <row r="11" spans="1:18">
      <c r="O11">
        <f>(400*10^3)*O10</f>
        <v>0.38857142857142851</v>
      </c>
      <c r="Q11" t="s">
        <v>42</v>
      </c>
      <c r="R11">
        <f>R10*(400*10^3)</f>
        <v>94117.647058823524</v>
      </c>
    </row>
    <row r="12" spans="1:18">
      <c r="O12">
        <f>4*O11</f>
        <v>1.554285714285714</v>
      </c>
      <c r="Q12" t="s">
        <v>43</v>
      </c>
      <c r="R12">
        <f>((12-5)/(6.8*10^-6))*(1/17)</f>
        <v>60553.633217993083</v>
      </c>
    </row>
    <row r="13" spans="1:18">
      <c r="O13">
        <f>1+O12</f>
        <v>2.5542857142857143</v>
      </c>
      <c r="Q13" t="s">
        <v>44</v>
      </c>
      <c r="R13">
        <f>1+(R11/R12)</f>
        <v>2.5542857142857143</v>
      </c>
    </row>
  </sheetData>
  <phoneticPr fontId="10"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Sheet1</vt:lpstr>
      <vt:lpstr>Change list </vt:lpstr>
      <vt:lpstr>RTQ296x_design tool</vt:lpstr>
      <vt:lpstr>RTQ294x_design tool</vt:lpstr>
      <vt:lpstr>parameter setting</vt:lpstr>
      <vt:lpstr>Ref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edison_wu@richtek.com</dc:creator>
  <cp:lastModifiedBy>edison_wu(吳宗翰)</cp:lastModifiedBy>
  <cp:lastPrinted>2018-05-17T11:24:15Z</cp:lastPrinted>
  <dcterms:created xsi:type="dcterms:W3CDTF">2018-02-23T01:13:05Z</dcterms:created>
  <dcterms:modified xsi:type="dcterms:W3CDTF">2021-05-31T05:38:22Z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_SA">
    <vt:lpwstr>C:\Users\정익\Desktop\component value formula.xlsx</vt:lpwstr>
  </property>
</Properties>
</file>